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ttos\Desktop\New folder (2)\ლავრენტის დავალება\"/>
    </mc:Choice>
  </mc:AlternateContent>
  <xr:revisionPtr revIDLastSave="0" documentId="13_ncr:1_{CBE5B328-EE32-4539-9A5D-8D46A7E362BE}" xr6:coauthVersionLast="47" xr6:coauthVersionMax="47" xr10:uidLastSave="{00000000-0000-0000-0000-000000000000}"/>
  <bookViews>
    <workbookView xWindow="1950" yWindow="615" windowWidth="29010" windowHeight="15585" firstSheet="2" activeTab="7" xr2:uid="{00000000-000D-0000-FFFF-FFFF00000000}"/>
  </bookViews>
  <sheets>
    <sheet name="კლასიფიკაცია" sheetId="1" state="hidden" r:id="rId1"/>
    <sheet name="სავალუტო პროდუქტები 1" sheetId="2" state="hidden" r:id="rId2"/>
    <sheet name="საბრუნავი კაპიტალის მრჩეველი" sheetId="3" r:id="rId3"/>
    <sheet name="სავალუტო პროდუქტები_" sheetId="4" state="hidden" r:id="rId4"/>
    <sheet name="ფაქტორინგი" sheetId="5" r:id="rId5"/>
    <sheet name="როგორ მუშაობს მრჩეველი" sheetId="6" state="hidden" r:id="rId6"/>
    <sheet name="ლიზინგი" sheetId="7" r:id="rId7"/>
    <sheet name="სავალუტო პროდუქტები_ კ1" sheetId="8" r:id="rId8"/>
  </sheets>
  <definedNames>
    <definedName name="_xlnm._FilterDatabase" localSheetId="2" hidden="1">'საბრუნავი კაპიტალის მრჩეველი'!$A$4:$E$30</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8" l="1"/>
  <c r="B55" i="8"/>
  <c r="B54" i="8"/>
  <c r="B56" i="8" s="1"/>
  <c r="B46" i="8"/>
  <c r="B45" i="8"/>
  <c r="B44" i="8"/>
  <c r="B43" i="8"/>
  <c r="B42" i="8"/>
  <c r="C25" i="8"/>
  <c r="B41" i="8"/>
  <c r="B40" i="8"/>
  <c r="B39" i="8"/>
  <c r="C22" i="8"/>
  <c r="C21" i="8"/>
  <c r="K16" i="8"/>
  <c r="K15" i="8"/>
  <c r="K14" i="8"/>
  <c r="K13" i="8"/>
  <c r="K12" i="8"/>
  <c r="K11" i="8"/>
  <c r="K10" i="8"/>
  <c r="K9" i="8"/>
  <c r="K8" i="8"/>
  <c r="K7" i="8"/>
  <c r="H7" i="8"/>
  <c r="K6" i="8"/>
  <c r="K5" i="8"/>
  <c r="B31" i="7"/>
  <c r="B34" i="7" s="1"/>
  <c r="B29" i="7"/>
  <c r="B28" i="7"/>
  <c r="K19" i="7"/>
  <c r="K18" i="7"/>
  <c r="K17" i="7"/>
  <c r="K16" i="7"/>
  <c r="K15" i="7"/>
  <c r="K14" i="7"/>
  <c r="K13" i="7"/>
  <c r="K12" i="7"/>
  <c r="K11" i="7"/>
  <c r="K10" i="7"/>
  <c r="K9" i="7"/>
  <c r="H9" i="7"/>
  <c r="K8" i="7"/>
  <c r="H8" i="7"/>
  <c r="K7" i="7"/>
  <c r="K6" i="7"/>
  <c r="K5" i="7"/>
  <c r="B32" i="5"/>
  <c r="B30" i="5"/>
  <c r="B31" i="5" s="1"/>
  <c r="B29" i="5"/>
  <c r="K19" i="5"/>
  <c r="K18" i="5"/>
  <c r="K17" i="5"/>
  <c r="K16" i="5"/>
  <c r="K15" i="5"/>
  <c r="K14" i="5"/>
  <c r="K13" i="5"/>
  <c r="K12" i="5"/>
  <c r="K11" i="5"/>
  <c r="K10" i="5"/>
  <c r="H10" i="5"/>
  <c r="K9" i="5"/>
  <c r="K8" i="5"/>
  <c r="K7" i="5"/>
  <c r="K6" i="5"/>
  <c r="H6" i="5"/>
  <c r="K5" i="5"/>
  <c r="B45" i="4"/>
  <c r="B44" i="4"/>
  <c r="B46" i="4" s="1"/>
  <c r="F29" i="4"/>
  <c r="F28" i="4"/>
  <c r="F27" i="4"/>
  <c r="F26" i="4"/>
  <c r="F25" i="4"/>
  <c r="B25" i="4"/>
  <c r="F24" i="4"/>
  <c r="F23" i="4"/>
  <c r="F22" i="4"/>
  <c r="B22" i="4"/>
  <c r="B21" i="4"/>
  <c r="K16" i="4"/>
  <c r="K15" i="4"/>
  <c r="K14" i="4"/>
  <c r="K13" i="4"/>
  <c r="K12" i="4"/>
  <c r="K11" i="4"/>
  <c r="K10" i="4"/>
  <c r="K9" i="4"/>
  <c r="H9" i="4"/>
  <c r="K8" i="4"/>
  <c r="K7" i="4"/>
  <c r="H7" i="4"/>
  <c r="K6" i="4"/>
  <c r="K5" i="4"/>
  <c r="B31" i="2"/>
  <c r="D27" i="2"/>
  <c r="D25" i="2"/>
  <c r="D23" i="2"/>
  <c r="E21" i="2"/>
  <c r="D21" i="2"/>
  <c r="B21" i="2"/>
  <c r="G20" i="2"/>
  <c r="F20" i="2"/>
  <c r="B20" i="2"/>
  <c r="B22" i="1"/>
  <c r="C22" i="1" s="1"/>
  <c r="D15" i="1"/>
  <c r="B11" i="1"/>
  <c r="C11" i="1" s="1"/>
  <c r="K17" i="3"/>
  <c r="K16" i="3"/>
  <c r="K15" i="3"/>
  <c r="K14" i="3"/>
  <c r="K13" i="3"/>
  <c r="K12" i="3"/>
  <c r="K11" i="3"/>
  <c r="K10" i="3"/>
  <c r="K9" i="3"/>
  <c r="H9" i="3"/>
  <c r="K8" i="3"/>
  <c r="K7" i="3"/>
  <c r="K6" i="3"/>
  <c r="H5" i="3"/>
  <c r="B33" i="7" l="1"/>
  <c r="B36" i="7" s="1"/>
  <c r="H5" i="7"/>
  <c r="H7" i="7" s="1"/>
  <c r="H5" i="8"/>
  <c r="B32" i="7"/>
  <c r="H11" i="3"/>
  <c r="H12" i="3" s="1"/>
  <c r="H5" i="4"/>
  <c r="G41" i="8"/>
  <c r="H5" i="5"/>
  <c r="B48" i="4"/>
  <c r="B47" i="4"/>
  <c r="B58" i="8"/>
  <c r="B57" i="8"/>
  <c r="E44" i="8"/>
  <c r="D44" i="8"/>
  <c r="C44" i="8"/>
  <c r="H44" i="8" s="1"/>
  <c r="D43" i="8"/>
  <c r="C43" i="8"/>
  <c r="H43" i="8" s="1"/>
  <c r="G43" i="8"/>
  <c r="F43" i="8"/>
  <c r="E43" i="8"/>
  <c r="G42" i="8"/>
  <c r="F42" i="8"/>
  <c r="E42" i="8"/>
  <c r="D42" i="8"/>
  <c r="C42" i="8"/>
  <c r="H42" i="8" s="1"/>
  <c r="G46" i="8"/>
  <c r="F46" i="8"/>
  <c r="D46" i="8"/>
  <c r="C46" i="8"/>
  <c r="H46" i="8" s="1"/>
  <c r="G45" i="8"/>
  <c r="F45" i="8"/>
  <c r="E45" i="8"/>
  <c r="E46" i="8"/>
  <c r="C45" i="8"/>
  <c r="H45" i="8" s="1"/>
  <c r="G44" i="8"/>
  <c r="F44" i="8"/>
  <c r="D45" i="8"/>
  <c r="C32" i="8"/>
  <c r="C30" i="8"/>
  <c r="C35" i="8" s="1"/>
  <c r="F41" i="8"/>
  <c r="E41" i="8"/>
  <c r="D41" i="8"/>
  <c r="C41" i="8"/>
  <c r="H41" i="8" s="1"/>
  <c r="G40" i="8"/>
  <c r="F40" i="8"/>
  <c r="E40" i="8"/>
  <c r="D40" i="8"/>
  <c r="C40" i="8"/>
  <c r="H40" i="8" s="1"/>
  <c r="G39" i="8"/>
  <c r="F39" i="8"/>
  <c r="E39" i="8"/>
  <c r="D39" i="8"/>
  <c r="C39" i="8"/>
  <c r="H39" i="8" s="1"/>
  <c r="B35" i="5"/>
  <c r="B33" i="5"/>
  <c r="H9" i="5"/>
  <c r="H8" i="5"/>
  <c r="H7" i="5"/>
  <c r="B32" i="4"/>
  <c r="B30" i="4"/>
  <c r="B35" i="4" s="1"/>
  <c r="K29" i="4"/>
  <c r="J29" i="4"/>
  <c r="I29" i="4"/>
  <c r="H29" i="4"/>
  <c r="G29" i="4"/>
  <c r="L29" i="4" s="1"/>
  <c r="K28" i="4"/>
  <c r="J28" i="4"/>
  <c r="I28" i="4"/>
  <c r="H28" i="4"/>
  <c r="G28" i="4"/>
  <c r="L28" i="4" s="1"/>
  <c r="I24" i="4"/>
  <c r="K27" i="4"/>
  <c r="J27" i="4"/>
  <c r="I27" i="4"/>
  <c r="H27" i="4"/>
  <c r="G27" i="4"/>
  <c r="L27" i="4" s="1"/>
  <c r="K26" i="4"/>
  <c r="J26" i="4"/>
  <c r="I26" i="4"/>
  <c r="H26" i="4"/>
  <c r="G26" i="4"/>
  <c r="L26" i="4" s="1"/>
  <c r="K25" i="4"/>
  <c r="J25" i="4"/>
  <c r="I25" i="4"/>
  <c r="H25" i="4"/>
  <c r="G25" i="4"/>
  <c r="L25" i="4" s="1"/>
  <c r="K24" i="4"/>
  <c r="J24" i="4"/>
  <c r="H24" i="4"/>
  <c r="G24" i="4"/>
  <c r="L24" i="4" s="1"/>
  <c r="K23" i="4"/>
  <c r="J23" i="4"/>
  <c r="I23" i="4"/>
  <c r="H23" i="4"/>
  <c r="G23" i="4"/>
  <c r="L23" i="4" s="1"/>
  <c r="K22" i="4"/>
  <c r="J22" i="4"/>
  <c r="I22" i="4"/>
  <c r="H22" i="4"/>
  <c r="G22" i="4"/>
  <c r="L22" i="4" s="1"/>
  <c r="E22" i="2"/>
  <c r="G21" i="2"/>
  <c r="F21" i="2"/>
  <c r="C17" i="1"/>
  <c r="C16" i="1"/>
  <c r="H10" i="3"/>
  <c r="H8" i="3"/>
  <c r="H7" i="3"/>
  <c r="H6" i="3"/>
  <c r="H13" i="3"/>
  <c r="H6" i="7" l="1"/>
  <c r="H6" i="8"/>
  <c r="H8" i="8"/>
  <c r="C27" i="8" s="1"/>
  <c r="C28" i="8" s="1"/>
  <c r="C29" i="8" s="1"/>
  <c r="C31" i="8" s="1"/>
  <c r="B35" i="7"/>
  <c r="B37" i="7" s="1"/>
  <c r="B38" i="7"/>
  <c r="H8" i="4"/>
  <c r="B27" i="4" s="1"/>
  <c r="B28" i="4" s="1"/>
  <c r="H6" i="4"/>
  <c r="B36" i="5"/>
  <c r="B37" i="5" s="1"/>
  <c r="B38" i="5"/>
  <c r="F22" i="2"/>
  <c r="G22" i="2"/>
  <c r="E23" i="2"/>
  <c r="C33" i="8" l="1"/>
  <c r="C34" i="8"/>
  <c r="B29" i="4"/>
  <c r="B31" i="4" s="1"/>
  <c r="B42" i="5"/>
  <c r="B41" i="5"/>
  <c r="F23" i="2"/>
  <c r="G23" i="2"/>
  <c r="E24" i="2"/>
  <c r="B34" i="4" l="1"/>
  <c r="B33" i="4"/>
  <c r="B43" i="5"/>
  <c r="B44" i="5" s="1"/>
  <c r="B45" i="5" s="1"/>
  <c r="F24" i="2"/>
  <c r="G24" i="2"/>
  <c r="E25" i="2"/>
  <c r="F25" i="2" l="1"/>
  <c r="G25" i="2"/>
  <c r="E26" i="2"/>
  <c r="F26" i="2" l="1"/>
  <c r="G26" i="2"/>
  <c r="E27" i="2"/>
  <c r="F27" i="2" l="1"/>
  <c r="G27" i="2"/>
  <c r="E28" i="2"/>
  <c r="F28" i="2" l="1"/>
  <c r="G28" i="2"/>
  <c r="E29" i="2"/>
  <c r="F29" i="2" l="1"/>
  <c r="G29" i="2"/>
  <c r="E30" i="2"/>
  <c r="F30" i="2" l="1"/>
  <c r="G30" i="2"/>
  <c r="E31" i="2"/>
  <c r="F31" i="2" l="1"/>
  <c r="G31" i="2"/>
</calcChain>
</file>

<file path=xl/sharedStrings.xml><?xml version="1.0" encoding="utf-8"?>
<sst xmlns="http://schemas.openxmlformats.org/spreadsheetml/2006/main" count="1334" uniqueCount="928">
  <si>
    <t>საბრუნავი კაპიტალის პროდუქტის მრჩეველი - SME კითხვარი და რისკის რანგი</t>
  </si>
  <si>
    <t>შეავსეთ ყვითელი შესაყვანი უჯრები. ფურცელი რეკომენდაციას იძლევა ყველაზე შესაფერის საბრუნავი კაპიტალის პროდუქტზე ფულადი ნაკადების პროფილის, დაფარვის წყაროს, უზრუნველყოფის, ვადისა და რისკის მაჩვენებლების საფუძველზე.</t>
  </si>
  <si>
    <t>N</t>
  </si>
  <si>
    <t>კითხვა / ტერმინი</t>
  </si>
  <si>
    <t>პასუხი</t>
  </si>
  <si>
    <t>დასაშვები პასუხები / ფორმატი</t>
  </si>
  <si>
    <t>მრჩეველის რეკომენდაცია</t>
  </si>
  <si>
    <t>მრჩეველის შედეგი</t>
  </si>
  <si>
    <t>რისკის ქულების ტერმინები</t>
  </si>
  <si>
    <t>წინასწარ ცნობილია თუ არა დაფინანსების საჭიროება?</t>
  </si>
  <si>
    <t>დიახ</t>
  </si>
  <si>
    <t>დიახ / არა</t>
  </si>
  <si>
    <t>ცნობილი თანხა და ვადა ჩვეულებრივ მიუთითებს ვადიან სესხზე, მოკლევადიან სესხზე, ფაქტორინგზე ან ვაჭრობის დაფინანსებაზე.</t>
  </si>
  <si>
    <t>რეკომენდებული პროდუქტი</t>
  </si>
  <si>
    <t>რისკის ფაქტორი</t>
  </si>
  <si>
    <t>ქულა</t>
  </si>
  <si>
    <t>ქულის მინიჭების წესი</t>
  </si>
  <si>
    <t>პროდუქტი</t>
  </si>
  <si>
    <t>ალტერნატიული პროდუქტი</t>
  </si>
  <si>
    <t>რეკომენდაციის მიზეზი</t>
  </si>
  <si>
    <t>რეკომენდებული ვადა</t>
  </si>
  <si>
    <t>სტანდარტული დაფარვის გრაფიკი</t>
  </si>
  <si>
    <t>დაფინანსების მიზანი</t>
  </si>
  <si>
    <t>მარაგი</t>
  </si>
  <si>
    <t>მარაგი; ნედლეული; მიმწოდებლის წინასწარი გადახდა; სეზონური მარაგი; დადასტურებული შეკვეთა; საოპერაციო ხარჯები; იმპორტი/ექსპორტი; დებიტორული დავალიანება</t>
  </si>
  <si>
    <t>მიზანი ეხმარება განსაზღვრას, დაფარვის წყარო არის გაყიდვები, ინვოისის ამოღება, ანგარიშზე შემოდინება თუ ერთი ტრანზაქცია.</t>
  </si>
  <si>
    <t>ბიზნესის ასაკი</t>
  </si>
  <si>
    <t>0: &gt;3 წელი; 1: 1-3 წელი; 2: &lt;1 წელი</t>
  </si>
  <si>
    <t>საბრუნავი კაპიტალის ვადიანი სესხი</t>
  </si>
  <si>
    <t>საკრედიტო ხაზი, თუ საჭიროება მეორდება ან მერყეობს</t>
  </si>
  <si>
    <t>ცნობილი დაფინანსების თანხა, რომლის დაფარვა ხდება ნორმალური გაყიდვების/ფულადი კონვერსიის ციკლიდან.</t>
  </si>
  <si>
    <t>ვადა შეუსაბამეთ ფულადი კონვერსიის ციკლს და ბუფერს; ხშირად 6-36 თვე, უფრო გრძელი მხოლოდ დასაბუთების შემთხვევაში.</t>
  </si>
  <si>
    <t>თვიური / კვარტალური / სეზონური ფულადი ნაკადის მიხედვით</t>
  </si>
  <si>
    <t>საჭიროების ხასიათი</t>
  </si>
  <si>
    <t>განმეორებითი</t>
  </si>
  <si>
    <t>ერთჯერადი / განმეორებითი</t>
  </si>
  <si>
    <t>ერთჯერად საჭიროებებს შეესაბამება ვადიანი ან მოკლევადიანი სესხები. განმეორებით და მერყევ საჭიროებებს შეესაბამება საკრედიტო ხაზები.</t>
  </si>
  <si>
    <t>ფინანსური ჩანაწერები</t>
  </si>
  <si>
    <t>0: მოწესრიგებული/აუდიტირებული; 1: საბაზისო; 2: არაფორმალური/არასრული</t>
  </si>
  <si>
    <t>მოკლევადიანი ბიზნეს სესხი</t>
  </si>
  <si>
    <t>საბრუნავი კაპიტალის ვადიანი სესხი, თუ საჭიროება ნორმალური საოპერაციო ციკლის ნაწილია</t>
  </si>
  <si>
    <t>ერთი კონკრეტული დადასტურებული შეკვეთა/ხელშეკრულება მკაფიო ტრანზაქციული დაფარვის წყაროთი.</t>
  </si>
  <si>
    <t>ჩვეულებრივ 1-6 თვე ან ხელშეკრულებიდან თანხის მიღებამდე.</t>
  </si>
  <si>
    <t>ერთიანი დაფარვა ან დაფარვა ტრანზაქციის შემდეგ</t>
  </si>
  <si>
    <t>ფულადი სახსრების კონვერსიის / მარაგის ციკლი დღეებში</t>
  </si>
  <si>
    <t>დღეების რაოდენობა</t>
  </si>
  <si>
    <t>უფრო გრძელი ციკლები მოითხოვს უფრო გრძელ ვადას და ზრდის რისკს.</t>
  </si>
  <si>
    <t>ანგარიშზე ბრუნვა</t>
  </si>
  <si>
    <t>0: სტაბილური, ბანკისთვის ხილული; 1: სეზონური; 2: არარეგულარული/ნაღდი</t>
  </si>
  <si>
    <t>საკრედიტო ხაზი</t>
  </si>
  <si>
    <t>საბრუნავი კაპიტალის ვადიანი სესხი, თუ ლიმიტი მუდმივად გამოიყენება</t>
  </si>
  <si>
    <t>განმეორებითი რევოლვირებადი საბრუნავი კაპიტალის საჭიროება მერყევი გამოყენებით და ხელახალი ათვისებით.</t>
  </si>
  <si>
    <t>ჩვეულებრივ 12-თვიანი განახლებადი ლიმიტი პერიოდული გადახედვით.</t>
  </si>
  <si>
    <t>მოქნილი ათვისება და დაფარვა</t>
  </si>
  <si>
    <t>არსებობს თუ არა დადასტურებული შეკვეთა ან ხელშეკრულება?</t>
  </si>
  <si>
    <t>არა</t>
  </si>
  <si>
    <t>ერთი დადასტურებული ტრანზაქცია მკაფიო დაფარვის წყაროთი შეიძლება მოკლევადიან ბიზნეს სესხს შეესაბამებოდეს.</t>
  </si>
  <si>
    <t>რეკომენდებული დაფარვა გრაფიკი</t>
  </si>
  <si>
    <t>მომგებიანობა</t>
  </si>
  <si>
    <t>0: სტაბილურად დადებითი; 1: მერყევი; 2: ზარალიანი</t>
  </si>
  <si>
    <t>ოვერდრაფტი</t>
  </si>
  <si>
    <t>საკრედიტო ხაზი ან ვადიანი სესხი, თუ ნაშთი არ ნულდება</t>
  </si>
  <si>
    <t>ძალიან მოკლე ლიკვიდობის დანაკლისი, რომელიც ანგარიშზე შემოდინებებით უნდა დაიფაროს.</t>
  </si>
  <si>
    <t>12-თვიანი ლიმიტი; თითოეული გამოყენება დღეებში/კვირებში უნდა დაიფაროს.</t>
  </si>
  <si>
    <t>ავტომატური დაფარვა ანგარიშზე შემოდინებებიდან</t>
  </si>
  <si>
    <t>არსებობს თუ არა ფორმალური ინვოისი / დებიტორული დავალიანება?</t>
  </si>
  <si>
    <t>სანდო მყიდველებისგან ფორმალური დებიტორული დავალიანება შეიძლება ფაქტორინგს ან ინვოისის დაფინანსებას შეესაბამებოდეს.</t>
  </si>
  <si>
    <t>უზრუნველყოფის / რისკის შემცირების რჩევა</t>
  </si>
  <si>
    <t>DSCR</t>
  </si>
  <si>
    <t>0: &gt;=1.30x; 1: 1.10x-1.29x; 2: &lt;1.10x</t>
  </si>
  <si>
    <t>არაუზრუნველყოფილი SME სესხი</t>
  </si>
  <si>
    <t>უზრუნველყოფილი სესხი ან სახელმწიფო გარანტია, თუ თანხა დიდია</t>
  </si>
  <si>
    <t>მსესხებელს არ აქვს მყარი უზრუნველყოფა, მაგრამ აქვს ძლიერი, ბანკისთვის ხილული ბრუნვა და შედარებით მცირე თანხა.</t>
  </si>
  <si>
    <t>მოკლე ან საშუალო ვადა; შენატანი ბრუნვიდან გადახდადი უნდა დარჩეს.</t>
  </si>
  <si>
    <t>თვიური შენატანები ბრუნვიდან</t>
  </si>
  <si>
    <t>არის თუ არა ეს იმპორტ/ექსპორტის ტრანზაქცია?</t>
  </si>
  <si>
    <t>იმპორტ/ექსპორტის გადახდის ვადა და მიწოდების რისკი შეიძლება ვაჭრობის დაფინანსებას შეესაბამებოდეს.</t>
  </si>
  <si>
    <t>ზოგადი რისკის ქულა</t>
  </si>
  <si>
    <t>უზრუნველყოფის დაფარვა</t>
  </si>
  <si>
    <t>0: &gt;=120%; 1: 80%-119%; 2: &lt;80% / არ არის</t>
  </si>
  <si>
    <t>ფაქტორინგი / ინვოისი დაფინანსება</t>
  </si>
  <si>
    <t>საკრედიტო ხაზი, თუ ინვოისები დასაშვები არ არის</t>
  </si>
  <si>
    <t>არსებობს ფორმალური დებიტორული დავალიანება; დაფარვის წყაროა მყიდველის გადახდა.</t>
  </si>
  <si>
    <t>ინვოისის დაფარვის ვადამდე / მყიდველის გადახდის თარიღამდე.</t>
  </si>
  <si>
    <t>დაფარვა მყიდველის მიერ ინვოისის გადახდიდან</t>
  </si>
  <si>
    <t>არსებობს თუ არა განმეორებითი საბრუნავი კაპიტალის საჭიროებები?</t>
  </si>
  <si>
    <t>განმეორებითი ათვისებისა და დაფარვის საჭიროებებს ჩვეულებრივ საკრედიტო ხაზი შეესაბამება.</t>
  </si>
  <si>
    <t>ზოგადი რისკის რანგი</t>
  </si>
  <si>
    <t>კლიენტების კონცენტრაცია</t>
  </si>
  <si>
    <t>0: დივერსიფიცირებული; 1: ზომიერი; 2: ერთი/რამდენიმე მყიდველი</t>
  </si>
  <si>
    <t>ვაჭრობის დაფინანსება / მოკლევადიანი იმპორტის სესხი</t>
  </si>
  <si>
    <t>საბრუნავი კაპიტალის სესხი, თუ დოკუმენტური რისკი არ არსებობს</t>
  </si>
  <si>
    <t>იმპორტ/ექსპორტის ტრანზაქცია ქმნის გადახდის, მიწოდების ან დოკუმენტაციის რისკს.</t>
  </si>
  <si>
    <t>შეუსაბამეთ გადაზიდვის, განბაჟების, გაყიდვისა და გადახდის ციკლს.</t>
  </si>
  <si>
    <t>დაფარვა იმპორტ/ექსპორტის გაყიდვიდან მიღებული თანხიდან</t>
  </si>
  <si>
    <t>მერყეობს თუ არა საჭირო თანხა წლის განმავლობაში?</t>
  </si>
  <si>
    <t>მერყევ თანხას უფრო საკრედიტო ხაზი ან ოვერდრაფტი შეესაბამება, ვიდრე ფიქსირებული ვადიანი სესხი.</t>
  </si>
  <si>
    <t>გაფრთხილება / მრჩეველის მოსაზრება</t>
  </si>
  <si>
    <t>მარაგის/ფულადი სახსრების კონვერსიის ციკლი</t>
  </si>
  <si>
    <t>0: &lt;=90 დღე; 1: 91-180 დღე; 2: &gt;180 დღე</t>
  </si>
  <si>
    <t>ნაღდი ფულით/დეპოზიტით უზრუნველყოფილი სესხი</t>
  </si>
  <si>
    <t>სტანდარტული უზრუნველყოფილი სესხი, თუ დეპოზიტის დაბლოკვა არ არის სასურველი</t>
  </si>
  <si>
    <t>დეპოზიტით/ნაღდი ფულით უზრუნველყოფა ხელმისაწვდომია და შეუძლია საკრედიტო რისკის შემცირება.</t>
  </si>
  <si>
    <t>ლიკვიდობის საჭიროება შეუსაბამეთ დეპოზიტის ვადას.</t>
  </si>
  <si>
    <t>შენატანები ან ერთიანი დაფარვა დეპოზიტის სტრუქტურის მიხედვით</t>
  </si>
  <si>
    <t>მოსალოდნელი მოკლევადიანი დანაკლისის ხანგრძლივობა დღეებში</t>
  </si>
  <si>
    <t>ძალიან მოკლე დანაკლისს, განსაკუთრებით 30 დღემდე, შეიძლება ოვერდრაფტი შეესაბამებოდეს.</t>
  </si>
  <si>
    <t>დებიტორული დავალიანების ამოღება</t>
  </si>
  <si>
    <t>0: &lt;=60 დღე; 1: 61-120 დღე; 2: &gt;120 დღე</t>
  </si>
  <si>
    <t>სახელმწიფოს მიერ მხარდაჭერილი საბრუნავი კაპიტალის სესხი (EG/RDA/გარანტია)</t>
  </si>
  <si>
    <t>ბანკის საბრუნავი კაპიტალის სესხი სახელმწიფო სუბსიდიის/გარანტიის დამატებით</t>
  </si>
  <si>
    <t>სახელმწიფო პროგრამის დასაშვებობამ შეიძლება შეამციროს საპროცენტო ტვირთი ან უზრუნველყოფის დანაკლისი.</t>
  </si>
  <si>
    <t>დაიცავით პროგრამის ლიმიტები და ბანკის ფულადი ნაკადების შეფასება.</t>
  </si>
  <si>
    <t>ბანკისა და პროგრამის წესების მიხედვით</t>
  </si>
  <si>
    <t>ბრუნდება თუ არა ანგარიშის ნაშთი რეგულარულად ნულზე / დადებითზე?</t>
  </si>
  <si>
    <t>დიახ / არა / ზოგჯერ</t>
  </si>
  <si>
    <t>თუ ოვერდრაფტი არ ნულდება, ბიზნესს სავარაუდოდ სტრუქტურული საბრუნავი კაპიტალის საჭიროება აქვს.</t>
  </si>
  <si>
    <t>სავალუტო შეუსაბამობა</t>
  </si>
  <si>
    <t>0: ვალუტა ემთხვევა; 1: ნაწილობრივი; 2: შეუსაბამობა</t>
  </si>
  <si>
    <t>საჭიროა მრჩეველის განხილვა</t>
  </si>
  <si>
    <t>საჭიროა მრჩეველის შეფასება</t>
  </si>
  <si>
    <t>შეყვანილი მონაცემები ერთ სტანდარტულ პროდუქტზე არ მიუთითებს.</t>
  </si>
  <si>
    <t>საჭიროა ვადის ინდივიდუალური შეფასება.</t>
  </si>
  <si>
    <t>საჭიროა გრაფიკის ინდივიდუალური შეფასება</t>
  </si>
  <si>
    <t>სასურველი გადახდის გრაფიკი</t>
  </si>
  <si>
    <t>კვარტალური</t>
  </si>
  <si>
    <t>თვიური; კვარტალური; სეზონური; ერთიანი დაფარვა; მოქნილი ათვისება/დაფარვა; კლიენტის გადახდის შემდეგ</t>
  </si>
  <si>
    <t>დაფარვის გრაფიკი რეალურ ფულადი კონვერსიის ციკლს უნდა მიჰყვეს.</t>
  </si>
  <si>
    <t>ოვერდრაფტის განულების ქცევა</t>
  </si>
  <si>
    <t>0: რეგულარულად ნულდება; 1: ზოგჯერ; 2: არ ნულდება</t>
  </si>
  <si>
    <t>მიწოდების ჯაჭვის დაფინანსება / რევერსიული ფაქტორინგი</t>
  </si>
  <si>
    <t>ფაქტორინგი, თუ მყიდველის მიერ წარმართული დამტკიცებული კრედიტორული დავალიანების პროგრამა ხელმისაწვდომი არ არის</t>
  </si>
  <si>
    <t>არსებობს მყიდველის მიერ წარმართული დამტკიცებული კრედიტორული დავალიანება; მიმწოდებელს სურს ადრე გადახდა, ხოლო მყიდველი მოგვიანებით იხდის.</t>
  </si>
  <si>
    <t>პროგრამის პირობების მიხედვით მყიდველის მიერ დამტკიცებული ინვოისის/კრედიტორული დავალიანების დაფარვის ვადამდე.</t>
  </si>
  <si>
    <t>მიმწოდებლის ადრეული გადახდა / მყიდველი მოგვიანებით იხდის</t>
  </si>
  <si>
    <t>უზრუნველყოფა ხელმისაწვდომია</t>
  </si>
  <si>
    <t>მყარი უზრუნველყოფა არ არის</t>
  </si>
  <si>
    <t>უძრავი ქონება; დეპოზიტი / ნაღდი ფულით უზრუნველყოფა; მარაგი; დებიტორული დავალიანება; აღჭურვილობა; პირადი გარანტია; მყარი უზრუნველყოფა არ არის; სახელმწიფო გარანტიისთვის დასაშვები</t>
  </si>
  <si>
    <t>უზრუნველყოფა გავლენას ახდენს როგორც დამტკიცების ალბათობაზე, ისე ფასზე.</t>
  </si>
  <si>
    <t>სექტორის რისკი</t>
  </si>
  <si>
    <t>0: სტაბილური; 1: სეზონური; 2: მერყევი/მაღალი რისკი</t>
  </si>
  <si>
    <t>არის თუ არა ძლიერი ბრუნვა და ბანკისთვის ხილული?</t>
  </si>
  <si>
    <t>მყარი უზრუნველყოფის არქონის, მაგრამ ძლიერი ბრუნვის შემთხვევაში შეიძლება არაუზრუნველყოფილი SME სესხი შეესაბამებოდეს.</t>
  </si>
  <si>
    <t>დასაშვებია თუ არა EG / RDA / სახელმწიფო გარანტიისთვის?</t>
  </si>
  <si>
    <t>დიახ / არა / უცნობია</t>
  </si>
  <si>
    <t>სახელმწიფო პროგრამებს შეუძლია საპროცენტო ხარჯის ან უზრუნველყოფის დანაკლისის შემცირება, მაგრამ ბანკის ანდერრაიტინგი მაინც გამოიყენება.</t>
  </si>
  <si>
    <t>ემთხვევა თუ არა სესხის ვალუტა შემოსავლის ვალუტას?</t>
  </si>
  <si>
    <t>დიახ / არა / ნაწილობრივი</t>
  </si>
  <si>
    <t>ვალუტის შეუსაბამობა ზრდის დაფარვის რისკს.</t>
  </si>
  <si>
    <t>მოთხოვნილი თანხა GEL-ში</t>
  </si>
  <si>
    <t>რიცხვი</t>
  </si>
  <si>
    <t>ძლიერი ბრუნვის შემთხვევაში მცირე არაუზრუნველყოფილი სესხები შეიძლება შესაძლებელი იყოს; დიდ საჭიროებებს ჩვეულებრივ უზრუნველყოფა სჭირდება.</t>
  </si>
  <si>
    <t>1-3 წელი</t>
  </si>
  <si>
    <t>3 წელზე მეტი; 1-3 წელი; 1 წელზე ნაკლები</t>
  </si>
  <si>
    <t>მოკლე საოპერაციო ისტორია ზრდის რისკს.</t>
  </si>
  <si>
    <t>ფინანსური ჩანაწერების ხარისხი</t>
  </si>
  <si>
    <t>საბაზისო ბუღალტერია</t>
  </si>
  <si>
    <t>აუდიტირებული / მოწესრიგებული საგადასახადო ჩანაწერები; საბაზისო ბუღალტერია; არაფორმალური ან არასრული</t>
  </si>
  <si>
    <t>სანდო ჩანაწერები ამცირებს ბანკის გაურკვევლობას.</t>
  </si>
  <si>
    <t>ანგარიშზე ბრუნვის ხასიათი</t>
  </si>
  <si>
    <t>არარეგულარული / ძირითადად ნაღდი</t>
  </si>
  <si>
    <t>სტაბილური, ბანკისთვის ხილული; სეზონური; არარეგულარული / ძირითადად ნაღდი</t>
  </si>
  <si>
    <t>სტაბილური, ბანკისთვის ხილული ბრუნვა ხელს უწყობს დამტკიცებას და უკეთეს ფასს.</t>
  </si>
  <si>
    <t>მერყევი</t>
  </si>
  <si>
    <t>სტაბილურად დადებითი; მერყევი; ზარალიანი</t>
  </si>
  <si>
    <t>მომგებიანობა მხარს უჭერს ვალის მომსახურების უნარს.</t>
  </si>
  <si>
    <t>ვალის მომსახურების დაფარვის კოეფიციენტი (DSCR) = საოპ მოგება/ (სესხის % + ძირი )</t>
  </si>
  <si>
    <t>რიცხვი, მაგ. 1.30</t>
  </si>
  <si>
    <t>1.10x-ზე ნაკლები ჩვეულებრივ სუსტია ახალი ვალისთვის.</t>
  </si>
  <si>
    <t>უზრუნველყოფის დაფარვის კოეფიციენტი</t>
  </si>
  <si>
    <t>პროცენტი ან რიცხვი, მაგ. 120%</t>
  </si>
  <si>
    <t>80%-ზე ნაკლები ან უზრუნველყოფის არქონა ზრდის რისკს.</t>
  </si>
  <si>
    <t>ზომიერი</t>
  </si>
  <si>
    <t>დივერსიფიცირებული; ზომიერი; ერთი/რამდენიმე მყიდველი</t>
  </si>
  <si>
    <t>კლიენტების მაღალი კონცენტრაცია ზრდის ამოღების რისკს.</t>
  </si>
  <si>
    <t>დებიტორული დავალიანების ამოღების პერიოდი დღეებში</t>
  </si>
  <si>
    <t>გრძელი ამოღების პერიოდი ქმნის საბრუნავი კაპიტალის ზეწოლას და შეიძლება ფაქტორინგს უჭერდეს მხარს.</t>
  </si>
  <si>
    <t>სტაბილური</t>
  </si>
  <si>
    <t>სტაბილური; სეზონური; მერყევი/მაღალი რისკი</t>
  </si>
  <si>
    <t>სეზონურ ან მერყევ სექტორებს სჭირდება მორგებული დაფარვა და უფრო მაღალი რისკის მარჟები.</t>
  </si>
  <si>
    <t>მონაწილეობს თუ არა ძლიერი მყიდველი / წამყვანი კომპანია?</t>
  </si>
  <si>
    <t>მიწოდების ჯაჭვის დაფინანსებას ჩვეულებრივ სჭირდება ძლიერი მყიდველი ან წამყვანი კომპანია, რომლის დამტკიცებული კრედიტორული დავალიანება დაფინანსებას უჭერს მხარს.</t>
  </si>
  <si>
    <t>დაამტკიცა თუ არა მყიდველმა მიმწოდებლის ინვოისი / კრედიტორული დავალიანება?</t>
  </si>
  <si>
    <t>დამტკიცებული კრედიტორული დავალიანება რევერსიული ფაქტორინგის / მიწოდების ჯაჭვის დაფინანსების მთავარი საფუძველია.</t>
  </si>
  <si>
    <t>ითხოვს თუ არა მიმწოდებელი ადრე გადახდას, მაშინ როდესაც მყიდველი მოგვიანებით იხდის?</t>
  </si>
  <si>
    <t>თუ დიახ, ეს მიწოდების ჯაჭვის დაფინანსების / რევერსიული ფაქტორინგის ტიპური ხასიათია.</t>
  </si>
  <si>
    <t>პროდუქტების შედარება და მრჩეველის წესები</t>
  </si>
  <si>
    <t>ყველაზე შესაფერისი ფულადი ნაკადის პროფილი</t>
  </si>
  <si>
    <t>დაფარვის ტიპიური წყარო</t>
  </si>
  <si>
    <t>ვადის ტიპიური ლოგიკა</t>
  </si>
  <si>
    <t>ფასისა და რისკის განმარტება</t>
  </si>
  <si>
    <t>თავიდან აცილება / გაფრთხილება</t>
  </si>
  <si>
    <t>ცნობილი თანხა მარაგისთვის, ნედლეულისთვის, სეზონური მარაგისთვის ან საოპერაციო ციკლისთვის.</t>
  </si>
  <si>
    <t>ბიზნესის ზოგადი ფულადი ნაკადი და გაყიდვები.</t>
  </si>
  <si>
    <t>შეუსაბამეთ მარაგის/ფულადი კონვერსიის ციკლს; შეიძლება ერთ ციკლზე გრძელი იყოს, თუ სტრუქტურული საჭიროება დასაბუთებულია.</t>
  </si>
  <si>
    <t>ჩვეულებრივ იაფია, როდესაც უზრუნველყოფილია და ფულადი ნაკადი სტაბილურია; გრძელი ვადა ზრდის ჯამურ საპროცენტო ხარჯს.</t>
  </si>
  <si>
    <t>თავიდან აიცილეთ, თუ თანხა მუდმივად იცვლება ან მსესხებელს განმეორებითი მოქნილი ათვისება/დაფარვა სჭირდება.</t>
  </si>
  <si>
    <t>ერთი დადასტურებული შეკვეთა, ხელშეკრულება, გადაზიდვა ან მიმწოდებლის გადახდა.</t>
  </si>
  <si>
    <t>კონკრეტული ტრანზაქციის შემოდინება.</t>
  </si>
  <si>
    <t>მოკლე ვადა შეკვეთის/ხელშეკრულების თანხის მიღებამდე.</t>
  </si>
  <si>
    <t>რისკი მნიშვნელოვნად არის დამოკიდებული ტრანზაქციის ხარისხსა და მყიდველის/გადახდის განსაზღვრულობაზე.</t>
  </si>
  <si>
    <t>თავიდან აიცილეთ, თუ საჭიროება განმეორებითია; სანაცვლოდ გამოიყენეთ საკრედიტო ხაზი ან საბრუნავი კაპიტალის ვადიანი სესხი.</t>
  </si>
  <si>
    <t>განმეორებითი რევოლვირებადი საჭიროებები; თანხა წლის განმავლობაში მერყეობს.</t>
  </si>
  <si>
    <t>კლიენტებისგან რეგულარული ამოღებები.</t>
  </si>
  <si>
    <t>ჩვეულებრივ წლიური განახლებადი ლიმიტი; მრავალჯერადი ათვისება და დაფარვა.</t>
  </si>
  <si>
    <t>პროცენტი ჩვეულებრივ გამოყენებულ თანხაზეა, მაგრამ შეიძლება გამოუყენებელი ლიმიტის საკომისიო მოქმედებდეს.</t>
  </si>
  <si>
    <t>თუ უმეტესად სრულად გამოიყენება, ხელახლა შეაფასეთ როგორც სტრუქტურული საბრუნავი კაპიტალი.</t>
  </si>
  <si>
    <t>ძალიან მოკლე ლიკვიდობის დანაკლისი, რომელიც მიმდინარე ანგარიშზე შემოდინებებს უკავშირდება.</t>
  </si>
  <si>
    <t>ანგარიშზე შემომავალი ბრუნვა დღეებში/კვირებში.</t>
  </si>
  <si>
    <t>წლიური ლიმიტი, მაგრამ თითოეული გამოყენება სწრაფად უნდა განულდეს.</t>
  </si>
  <si>
    <t>მოსახერხებელია, მაგრამ მუდმივი გამოყენებისას შეიძლება ძვირი გახდეს.</t>
  </si>
  <si>
    <t>SME-ის ყველაზე დიდი შეცდომა: ოვერდრაფტის მუდმივ კაპიტალად გამოყენება.</t>
  </si>
  <si>
    <t>მცირე თანხის საჭიროება; მყარი უზრუნველყოფა არ არის, მაგრამ ბრუნვა ძლიერი და ბანკისთვის ხილულია.</t>
  </si>
  <si>
    <t>ბრუნვიდან გენერირებული ფულადი ნაკადი.</t>
  </si>
  <si>
    <t>მოკლე/საშუალო ვადა, მორგებული თვიურ ფულად შესაძლებლობას.</t>
  </si>
  <si>
    <t>უფრო მაღალი ფასი და დაბალი ლიმიტები, რადგან უზრუნველყოფიდან ამოღება სუსტია.</t>
  </si>
  <si>
    <t>თავიდან აიცილეთ, თუ ბრუნვა სუსტია, არაფორმალურია ან ბიზნესი უკვე ზედმეტად დავალიანებულია.</t>
  </si>
  <si>
    <t>ფორმალური ინვოისები სანდო მყიდველებზე; დებიტორული დავალიანების გრძელი ამოღების პერიოდი.</t>
  </si>
  <si>
    <t>მყიდველის მიერ ინვოისის გადახდა.</t>
  </si>
  <si>
    <t>ინვოისის დაფარვის ვადამდე.</t>
  </si>
  <si>
    <t>შეიძლება მიმზიდველი იყოს, როდესაც მყიდველის რისკი მსესხებლის რისკზე უკეთესია; საკომისიოები დამოკიდებულია მყიდველის ხარისხსა და რეგრესზე.</t>
  </si>
  <si>
    <t>თავიდან აიცილეთ, თუ დებიტორული დავალიანება სადავოა, დაუდოკუმენტირებელია ან მყიდველი სუსტია.</t>
  </si>
  <si>
    <t>მყიდველის მიერ წარმართული დამტკიცებული კრედიტორული დავალიანების პროგრამა; მიმწოდებელს ადრე გადახდა სჭირდება, ხოლო მყიდველი მოგვიანებით იხდის.</t>
  </si>
  <si>
    <t>მყიდველის მიერ დამტკიცებული კრედიტორული დავალიანება / მყიდველის გადახდა დაფარვის ვადაზე.</t>
  </si>
  <si>
    <t>დამტკიცებული ინვოისის/კრედიტორული დავალიანების დაფარვის ვადამდე.</t>
  </si>
  <si>
    <t>ფასი მნიშვნელოვნად დამოკიდებულია მყიდველის საკრედიტო ხარისხზე, ინვოისის დამტკიცების პროცესზე, რეგრესზე, პლატფორმის/ბანკის საკომისიოებზე და კონცენტრაციაზე.</t>
  </si>
  <si>
    <t>თავიდან აიცილეთ, თუ ძლიერი მყიდველი არ არსებობს, კრედიტორული დავალიანება დამტკიცებული არ არის ან საჭიროება ზოგადი საბრუნავი კაპიტალია და მყიდველის კრედიტორულ დავალიანებას არ უკავშირდება.</t>
  </si>
  <si>
    <t>დეპოზიტი არსებობს, მაგრამ ბიზნესს ლიკვიდობა სჭირდება.</t>
  </si>
  <si>
    <t>ბიზნესის ფულადი ნაკადი ან დეპოზიტის დაცვა.</t>
  </si>
  <si>
    <t>დაბალი საკრედიტო რისკი და ხშირად უკეთესი ფასი, მაგრამ დეპოზიტი დაბლოკილია.</t>
  </si>
  <si>
    <t>თავიდან აიცილეთ, თუ დეპოზიტის დაბლოკვა ლიკვიდობას უფრო აზიანებს, ვიდრე სესხი ეხმარება.</t>
  </si>
  <si>
    <t>სახელმწიფოს მიერ მხარდაჭერილი სესხი</t>
  </si>
  <si>
    <t>დასაშვები სექტორი ან უზრუნველყოფის დანაკლისი; ვრცელდება EG/RDA/გარანტიის პროგრამა.</t>
  </si>
  <si>
    <t>ბიზნესის ფულადი ნაკადი პლუს პროგრამის სუბსიდიის/გარანტიის მხარდაჭერა.</t>
  </si>
  <si>
    <t>უნდა შეესაბამებოდეს ბანკისა და პროგრამის ლიმიტებს.</t>
  </si>
  <si>
    <t>შეუძლია საპროცენტო ტვირთის ან უზრუნველყოფის დანაკლისის შემცირება, მაგრამ ანდერრაიტინგს არ ცვლის.</t>
  </si>
  <si>
    <t>თავიდან აიცილეთ დაშვება, რომ სუბსიდია ავტომატურ დამტკიცებას ნიშნავს.</t>
  </si>
  <si>
    <t>ძირითადი განსხვავება: საბრუნავი კაპიტალის ვადიანი სესხი vs მოკლევადიანი ბიზნეს სესხი</t>
  </si>
  <si>
    <t>აფინანსებს ნორმალურ საოპერაციო ციკლს: მარაგს, ნედლეულს, სეზონურ მარაგს ან მიმდინარე საბრუნავ კაპიტალს. დაფარვა მოდის ბიზნესის ზოგადი ფულადი ნაკადიდან და გაყიდვებიდან. ვადა შეიძლება უფრო გრძელი იყოს და გრაფიკი ფულადი კონვერსიის ციკლს უნდა შეესაბამებოდეს.</t>
  </si>
  <si>
    <t>აფინანსებს ერთ კონკრეტულ ტრანზაქციას: დადასტურებულ შეკვეთას, ხელშეკრულებას, გადაზიდვას ან მიმწოდებლის გადახდას. დაფარვა მოდის ამ ტრანზაქციის შემოდინებიდან, ხშირად 30-180 დღეში. არ უნდა გამოიყენებოდეს მუდმივი საბრუნავი კაპიტალისთვის.</t>
  </si>
  <si>
    <t xml:space="preserve">საბანკო პროდუქტების კლასიფიკაცია SME-ებისთვის </t>
  </si>
  <si>
    <t>სავალუტო ჰეჯირება (ფორვარდები, სვოპები, ოფციონები)</t>
  </si>
  <si>
    <t>სავალუტო ფორვარდი</t>
  </si>
  <si>
    <t xml:space="preserve">მაგალითი (1): რეალური მონაცემები </t>
  </si>
  <si>
    <t>დღეს, 12.06.2026: USD/GEL = 2.695 (ოფიციალური 2.6586).</t>
  </si>
  <si>
    <t>ჩინეთიდან ავეჯის იმპორტიორი 3 თვეში USD 100,000-ის გადახდას ელოდება.</t>
  </si>
  <si>
    <t>კომპანიას GEL-ის გაუფასურების ეშინია.</t>
  </si>
  <si>
    <t>კომპანია ბანკთან ფორვარდულ ხელშეკრულებას აფორმებს:</t>
  </si>
  <si>
    <t xml:space="preserve">USD 100,000-ის ყიდვა, კურსით 2.7171, 3-თვიანი ფორვარდული კურსით. მიმდინარე </t>
  </si>
  <si>
    <t xml:space="preserve">სავალუტო ფორვარდის ალტერნატიული ღირებულება GEL-ში </t>
  </si>
  <si>
    <t>3 თვის შემდეგ:</t>
  </si>
  <si>
    <t>სცენარი</t>
  </si>
  <si>
    <t>სპოტ კურსი</t>
  </si>
  <si>
    <t>SME იხდის GEL-ში</t>
  </si>
  <si>
    <t>ჰეჯირების გარეშე</t>
  </si>
  <si>
    <t>ფორვარდი</t>
  </si>
  <si>
    <t>დანაზოგი</t>
  </si>
  <si>
    <t>ნულოვანი შედეგის სავალუტო კურსი</t>
  </si>
  <si>
    <t xml:space="preserve">გამოყენების შემთხვევები: </t>
  </si>
  <si>
    <t xml:space="preserve">ექპორტ, იმპორტის ოპერაციები. სესხი უცხოურ ვალუტაში. </t>
  </si>
  <si>
    <t xml:space="preserve">ექსპორტ/იმპორტის ოპერაციები, სესხები უცხოურ ვალუტაში </t>
  </si>
  <si>
    <t>1. უნიკალური ფუნქცია: სავალუტო შეტყობინებები</t>
  </si>
  <si>
    <t>დააჯამეთ:</t>
  </si>
  <si>
    <t>საბანკო ტრანზაქციები,</t>
  </si>
  <si>
    <t>ინვოისები,</t>
  </si>
  <si>
    <t>დებიტორული დავალიანება,</t>
  </si>
  <si>
    <t>კრედიტორული დავალიანება,</t>
  </si>
  <si>
    <t>ავტომატურად გამოავლინეთ:</t>
  </si>
  <si>
    <t>მიმდინარე თარიღი</t>
  </si>
  <si>
    <t xml:space="preserve">თანხა </t>
  </si>
  <si>
    <t>ვალუტა</t>
  </si>
  <si>
    <t xml:space="preserve">ვადის პერიოდი, დღეები </t>
  </si>
  <si>
    <t>IFRS მოითხოვს გადაფასებას.</t>
  </si>
  <si>
    <t>ქმნის სავალუტო მოგებას/ზარალს.</t>
  </si>
  <si>
    <t>ფულადი ანგარიში (USD, EUR, CHY)</t>
  </si>
  <si>
    <t>13.06.2026</t>
  </si>
  <si>
    <t>USD</t>
  </si>
  <si>
    <t>?</t>
  </si>
  <si>
    <t>დებიტორული დავალიანება (USD, EUR, CHY)</t>
  </si>
  <si>
    <t>EUR</t>
  </si>
  <si>
    <t>ცნობილი რისკის ზეგავლენა</t>
  </si>
  <si>
    <t>კრედიტორული დავალიანება (USD, EUR, CHY)</t>
  </si>
  <si>
    <t>სესხები (USD, EUR)</t>
  </si>
  <si>
    <t>(წლის ჭრილში ხომ არ ჯობს?) დარჩენილი ნაშთი</t>
  </si>
  <si>
    <t>მომავალი განმეორებითი გადახდები (USD, EUR)</t>
  </si>
  <si>
    <t>90, 120, 150, 180</t>
  </si>
  <si>
    <t>ეკონომიკური რისკის ზეგავლენა</t>
  </si>
  <si>
    <t>ჯერ არ არის ინვოისირებული, მაგრამ მოსალოდნელია განმეორებითი რისკის ზეგავლენა</t>
  </si>
  <si>
    <t xml:space="preserve">როგორ გამოვთვალო რისკის ზეგავლენის პერიოდი, თუ სხვადასხვა დაფარვის ვადის მქონე დებიტორული დავალიანებები მაქვს? </t>
  </si>
  <si>
    <t>გამოთვალეთ:</t>
  </si>
  <si>
    <t xml:space="preserve">მგრძნობელობის სცენარი </t>
  </si>
  <si>
    <t xml:space="preserve">ფორვარდული კურსი მგრძნობელობის სცენარის მიხედვით USD/GEL </t>
  </si>
  <si>
    <t xml:space="preserve">ფორვარდული კურსი მგრძნობელობის სცენარის მიხედვით EUR/GEL </t>
  </si>
  <si>
    <t>TBC-ის ფორვარდული კურსები USD/GEL</t>
  </si>
  <si>
    <t>TBC-ის ფორვარდული კურსები EUR/GEL</t>
  </si>
  <si>
    <t>https://tbcbank.ge/en/valutis-kursi/USD-to-GEL?თანხა=100</t>
  </si>
  <si>
    <t xml:space="preserve">მიმდინარე კურსი </t>
  </si>
  <si>
    <t>წმინდა სავალუტო რისკის ზეგავლენა (0-30 დღე)</t>
  </si>
  <si>
    <t>წმინდა სავალუტო რისკის ზეგავლენა (30-60 დღე)</t>
  </si>
  <si>
    <t>წმინდა სავალუტო რისკის ზეგავლენა (60-90 დღე)</t>
  </si>
  <si>
    <t>წმინდა სავალუტო რისკის ზეგავლენა (90-120 დღე)</t>
  </si>
  <si>
    <t>წმინდა სავალუტო რისკის ზეგავლენა (120-150 დღე)</t>
  </si>
  <si>
    <t>წმინდა სავალუტო რისკის ზეგავლენა (150-180 დღე)</t>
  </si>
  <si>
    <t>წმინდა სავალუტო რისკის ზეგავლენა (180-210 დღე)</t>
  </si>
  <si>
    <t>წმინდა სავალუტო რისკის ზეგავლენა (210-240 დღე)</t>
  </si>
  <si>
    <t>წმინდა სავალუტო რისკის ზეგავლენა (240-270 დღე)</t>
  </si>
  <si>
    <t>წმინდა სავალუტო რისკის ზეგავლენა (270-300 დღე)</t>
  </si>
  <si>
    <t>წმინდა სავალუტო რისკის ზეგავლენა (300-330 დღე)</t>
  </si>
  <si>
    <t>წმინდა სავალუტო რისკის ზეგავლენა (330-360 დღე)</t>
  </si>
  <si>
    <t>შექმენით შეტყობინებები:</t>
  </si>
  <si>
    <t>თქვენ გაქვთ წმინდა მოკლე USD პოზიცია USD 220,000-ის ოდენობით, რომლის ვადა 30 დღეში დგება. განიხილეთ USD/GEL ფორვარდული ხელშეკრულება</t>
  </si>
  <si>
    <t>"რამდენ თანხას დავკარგავ ან მოვიგებ, თუ USD, EUR ან TRY X%-ით შეიცვლება?"</t>
  </si>
  <si>
    <t>"საჭიროა ჰეჯირება?"</t>
  </si>
  <si>
    <t>სავალუტო და საპროცენტო განაკვეთის ჰეჯირების მრჩეველი - საჭიროა ჰეჯირება?</t>
  </si>
  <si>
    <t>შეავსეთ ყვითელი უჯრები. ფურცელი ითვლის სავალუტო ზარალს/მოგებას USD/EUR/TRY-ის X%-ით ცვლილებისას, რეკომენდაციას იძლევა ჰეჯირების დონეზე და სტრეს-ტესტს უკეთებს ცვლადი საპროცენტო განაკვეთის რისკის ზეგავლენას. საქართველოში სავალუტო ფორვარდები საჯაროდ დასტურდება სებ-ის სავალუტო ფორვარდის ინდექსით; სვოპები/ოფციები/საპროცენტო განაკვეთის ჰეჯირება უნდა დადასტურდეს ბანკის სახაზინო სამსახურთან.</t>
  </si>
  <si>
    <t>ჰეჯირების მოსაზრება</t>
  </si>
  <si>
    <t>ქულის ფაქტორი</t>
  </si>
  <si>
    <t>ქულები</t>
  </si>
  <si>
    <t>აქვს თუ არა SME-ს უცხოურ ვალუტაში დებიტორული დავალიანება, კრედიტორული დავალიანება, ნაღდი ფული ან სესხები?</t>
  </si>
  <si>
    <t>თუ რისკის ზეგავლენა არ არსებობს, ჰეჯირება საჭირო არ არის.</t>
  </si>
  <si>
    <t>სავალუტო ჰეჯირების ქულა</t>
  </si>
  <si>
    <t>რისკის ზეგავლენის ტიპი</t>
  </si>
  <si>
    <t>შერეული</t>
  </si>
  <si>
    <t>ექსპორტიორის დებიტორული დავალიანება; იმპორტიორის კრედიტორული დავალიანება; სავალუტო სესხი; სავალუტო ნაღდი ფული; შერეული</t>
  </si>
  <si>
    <t>ადგენს, ვალუტის გამყარება თუ გაუფასურება აზიანებს SME-ს.</t>
  </si>
  <si>
    <t>საჭიროა ჰეჯირება?</t>
  </si>
  <si>
    <t>რისკის ზეგავლენის ვალუტა</t>
  </si>
  <si>
    <t>USD; EUR; TRY; სხვა</t>
  </si>
  <si>
    <t>USD/EUR-ზე ბანკის კოტირების მიღება უფრო სავარაუდოა; TRY/სხვა ვალუტა შეიძლება უფრო რთული ან ძვირი იყოს.</t>
  </si>
  <si>
    <t>რეკომენდებული სავალუტო პროდუქტი</t>
  </si>
  <si>
    <t>წმინდა რისკის ზეგავლენის თანხა უცხოურ ვალუტაში</t>
  </si>
  <si>
    <t>ნიშნით მითითებული რიცხვი</t>
  </si>
  <si>
    <t>გამოიყენეთ ნიშნიანი თანხა: დებიტორული დავალიანება/ექსპორტის შემოდინება დადებითია; კრედიტორული დავალიანება/იმპორტი/სესხი უარყოფითია.</t>
  </si>
  <si>
    <t>ჰეჯირების კოეფიციენტის რეკომენდაცია</t>
  </si>
  <si>
    <t>რისკის ზეგავლენის დაფარვის ვადა დღეებში</t>
  </si>
  <si>
    <t>ფორვარდები ყველაზე სასარგებლოა ცნობილი ვადისა და ცნობილი რისკის ზეგავლენის შემთხვევაში.</t>
  </si>
  <si>
    <t>ძირითადი გაფრთხილება</t>
  </si>
  <si>
    <t>არის თუ არა რისკის ზეგავლენა ხელშეკრულებით დადასტურებული / ინვოისირებული?</t>
  </si>
  <si>
    <t>ნაწილობრივ</t>
  </si>
  <si>
    <t>დიახ / არა / ნაწილობრივ</t>
  </si>
  <si>
    <t>დადასტურებული რისკის ზეგავლენა ჰეჯირების უფრო ძლიერი კანდიდატია, ვიდრე მხოლოდ პროგნოზული რისკის ზეგავლენა.</t>
  </si>
  <si>
    <t>შეუძლია თუ არა SME-ს სავალუტო ცვლილებების ფასში ასახვა კლიენტებზე?</t>
  </si>
  <si>
    <t>თუ დიახ, ბუნებრივმა ჰეჯირებამ/ფასწარმოქმნამ შეიძლება დერივატივით ჰეჯირების საჭიროება შეამციროს.</t>
  </si>
  <si>
    <t>არსებობს თუ არა სესხისა და შემოსავლის ვალუტების შეუსაბამობა?</t>
  </si>
  <si>
    <t>GEL შემოსავლის პირობებში სავალუტო სესხი მაღალი რისკის შეუსაბამობაა.</t>
  </si>
  <si>
    <t>უქმნის თუ არა პოტენციური სავალუტო ცვლილება საფრთხეს მარჟას, DSCR-ს ან კოვენანტების შესრულებას?</t>
  </si>
  <si>
    <t>ჰეჯირების საჭიროება ძლიერდება, როდესაც სავალუტო შოკი დაფარვის უნარს ემუქრება.</t>
  </si>
  <si>
    <t>ურჩევნია თუ არა SME-ს განსაზღვრულობა პოტენციურ მოგების შესაძლებლობას?</t>
  </si>
  <si>
    <t>ფორვარდი აფიქსირებს კურსს და გამორიცხავს როგორც სარგებელს, ისე ზარალს; ოფციები ინარჩუნებს სარგებლის შესაძლებლობას, მაგრამ შეიძლება ძვირი ან ნაკლებად ხელმისაწვდომი იყოს.</t>
  </si>
  <si>
    <t>ხელმისაწვდომია თუ არა ბანკის სახაზინო პროდუქტი?</t>
  </si>
  <si>
    <t>ბანკმა უნდა დააკოტიროს და დაამტკიცოს ჰეჯირების პროდუქტი.</t>
  </si>
  <si>
    <t>უნდა იყოს თუ არა ჰეჯირების კოეფიციენტი ნაწილობრივი და არა 100%?</t>
  </si>
  <si>
    <t>ნაწილობრივი ჰეჯირება გავრცელებულია, როდესაც რისკის ზეგავლენის თანხა ან ვადა გაურკვეველია.</t>
  </si>
  <si>
    <t>სავალუტო მგრძნობელობისა და ფორვარდული ჰეჯირების კალკულატორი</t>
  </si>
  <si>
    <t>სცენარის მატრიცა: სავალუტო ცვლილება ჰეჯირების კოეფიციენტის მიმართ</t>
  </si>
  <si>
    <t>რისკის ზეგავლენის თანხა უცხოურ ვალუტაში</t>
  </si>
  <si>
    <t>კითხვარიდან აღებული ნიშნით მითითებული რისკის ზეგავლენა უცხოურ ვალუტაში.</t>
  </si>
  <si>
    <t>სავალუტო კურსის ცვლილება</t>
  </si>
  <si>
    <t>მომავალი სპოტ კურსი</t>
  </si>
  <si>
    <t>არაჰეჯირებული გავლენა ლარში</t>
  </si>
  <si>
    <t>0% ჰეჯირება</t>
  </si>
  <si>
    <t>50% ჰეჯირება</t>
  </si>
  <si>
    <t>80% ჰეჯირება</t>
  </si>
  <si>
    <t>100% ჰეჯირება</t>
  </si>
  <si>
    <t>ინტერპრეტაცია</t>
  </si>
  <si>
    <t>USD/EUR/TRY/სხვა.</t>
  </si>
  <si>
    <t>მიმდინარე სპოტ კურსი GEL/უცხოური ვალუტა</t>
  </si>
  <si>
    <t>შეიყვანეთ მიმდინარე სპოტ კურსი.</t>
  </si>
  <si>
    <t>სავალუტო კურსის ცვლილების სცენარი %</t>
  </si>
  <si>
    <t>დადებითი = უცხოური ვალუტა მყარდება GEL-თან; უარყოფითი = უცხოური ვალუტა სუსტდება.</t>
  </si>
  <si>
    <t>მომავალი სპოტ კურსი სცენარის მიხედვით</t>
  </si>
  <si>
    <t>გამოთვლილი სცენარის კურსი.</t>
  </si>
  <si>
    <t>ფორვარდული კურსი GEL/უცხოური ვალუტა</t>
  </si>
  <si>
    <t>შეიყვანეთ ბანკის ფორვარდული კოტირება ან სებ-ის ინდიკატური საბაზრო მაჩვენებელი.</t>
  </si>
  <si>
    <t>ჰეჯირების კოეფიციენტი</t>
  </si>
  <si>
    <t>რეკომენდებული ჰეჯირების კოეფიციენტი ან ხელით მითითებული მნიშვნელობა.</t>
  </si>
  <si>
    <t>ჰეჯირებული თანხა უცხოურ ვალუტაში</t>
  </si>
  <si>
    <t>ნიშნით მითითებული ჰეჯირებული თანხა.</t>
  </si>
  <si>
    <t>არაჰეჯირებული თანხა უცხოურ ვალუტაში</t>
  </si>
  <si>
    <t>ნიშნით მითითებული დარჩენილი რისკის ზეგავლენა.</t>
  </si>
  <si>
    <t>არაჰეჯირებული სავალუტო გავლენა მიმდინარე GEL-თან შედარებით</t>
  </si>
  <si>
    <t>დადებითი = მოგება; უარყოფითი = ზარალი მიმდინარე სპოტ კურსთან შედარებით.</t>
  </si>
  <si>
    <t>GEL ღირებულება ჰეჯირებით სცენარის მიხედვით</t>
  </si>
  <si>
    <t>ჰეჯირებული ნაწილი ფორვარდით; დარჩენილი ნაწილი მომავალი სპოტ კურსით.</t>
  </si>
  <si>
    <t>GEL ღირებულება ჰეჯირების გარეშე სცენარის მიხედვით</t>
  </si>
  <si>
    <t>სრული რისკის ზეგავლენა მომავალი სპოტ კურსით.</t>
  </si>
  <si>
    <t>ჰეჯირების სარგებელი არაჰეჯირებულთან შედარებით</t>
  </si>
  <si>
    <t>დადებითი = ჰეჯირება აუმჯობესებს შედეგს ჰეჯირების არქონასთან შედარებით.</t>
  </si>
  <si>
    <t>წმინდა სავალუტო გავლენა ჰეჯირებით მიმდინარე კურსთან შედარებით</t>
  </si>
  <si>
    <t>დადებითი = მოგება; უარყოფითი = ზარალი ჰეჯირების შემდეგ.</t>
  </si>
  <si>
    <t>პასუხი: ზარალი/მოგება, თუ სავალუტო კურსი X%-ით შეიცვლება</t>
  </si>
  <si>
    <t>ძირითადი პასუხი SME-ს კითხვაზე.</t>
  </si>
  <si>
    <t>საპროცენტო განაკვეთის რისკისა და ჰეჯირების მრჩეველი</t>
  </si>
  <si>
    <t>პროდუქტის ხელმისაწვდომობა / გამოყენების შემთხვევები</t>
  </si>
  <si>
    <t>ცვლადგანაკვეთიანი სესხის თანხა</t>
  </si>
  <si>
    <t>სესხის ძირი, რომელიც ცვლადი საპროცენტო განაკვეთის რისკს ექვემდებარება.</t>
  </si>
  <si>
    <t>გამოყენების შემთხვევა</t>
  </si>
  <si>
    <t>ხელმისაწვდომობა / შენიშვნა</t>
  </si>
  <si>
    <t>მიმდინარე წლიური ცვლადი განაკვეთი</t>
  </si>
  <si>
    <t>მიმდინარე სესხის განაკვეთი ან საბაზო განაკვეთი + მარჟა.</t>
  </si>
  <si>
    <t>დააფიქსირეთ მომავალი გაცვლითი კურსი ცნობილი დებიტორული/კრედიტორული დავალიანების ან სესხის ფულადი ნაკადისთვის.</t>
  </si>
  <si>
    <t>სებ ადასტურებს, რომ საქართველოში კომერციული ბანკები ფიზიკურ და იურიდიულ პირებს სავალუტო ფორვარდულ ხელშეკრულებებს სთავაზობენ; სებ აქვეყნებს ინდიკატურ სავალუტო ფორვარდის ინდექსს.</t>
  </si>
  <si>
    <t>საპროცენტო განაკვეთის შოკი, საბაზისო პუნქტი</t>
  </si>
  <si>
    <t>მაგალითი: 200 საბაზისო პუნქტი = 2 პროცენტული პუნქტი.</t>
  </si>
  <si>
    <t>სავალუტო სვოპი</t>
  </si>
  <si>
    <t>ვალუტის დროებითი გაცვლა შემდგომი უკუგაცვლით; ლიკვიდობის/გადავადების ინსტრუმენტი.</t>
  </si>
  <si>
    <t>სავარაუდოდ ბანკის სახაზინო პროდუქტია უფრო დიდი/კორპორაციული კლიენტებისთვის; დაადასტურეთ უშუალოდ ბანკთან.</t>
  </si>
  <si>
    <t>დარჩენილი ვადა, წლები</t>
  </si>
  <si>
    <t>გამოიყენეთ ცვლადი განაკვეთის დარჩენილი რისკის პერიოდი.</t>
  </si>
  <si>
    <t>სავალუტო ოფცია</t>
  </si>
  <si>
    <t>დაცვა სარგებლის შესაძლებლობის შენარჩუნებით; ჩვეულებრივ პრემია წინასწარ გადაიხდება.</t>
  </si>
  <si>
    <t>ქართული SME-ებისთვის საჯაროდ ნაკლებად ხილულია; ხელმისაწვდომობა/ფასი უნდა დადასტურდეს ბანკის სახაზინო სამსახურთან.</t>
  </si>
  <si>
    <t>წლიური საპროცენტო ხარჯი ახლა</t>
  </si>
  <si>
    <t>მიმდინარე წლიური საპროცენტო ხარჯი.</t>
  </si>
  <si>
    <t>საპროცენტო განაკვეთის სვოპი</t>
  </si>
  <si>
    <t>ცვლადი განაკვეთის რისკის ზეგავლენის ფიქსირებულად გარდაქმნა ან პირიქით.</t>
  </si>
  <si>
    <t>SME-ებისთვის საჯარო ხელმისაწვდომობა შეზღუდულია; დიდი ცვლადგანაკვეთიანი რისკის ზეგავლენის შემთხვევაში მიმართეთ ბანკის სახაზინო სამსახურს.</t>
  </si>
  <si>
    <t>წლიური საპროცენტო ხარჯი შოკის შემდეგ</t>
  </si>
  <si>
    <t>სტრესირებული წლიური საპროცენტო ხარჯი.</t>
  </si>
  <si>
    <t>საპროცენტო განაკვეთის კეპი/კოლარი</t>
  </si>
  <si>
    <t>ცვლადი განაკვეთის მაქსიმალური ხარჯის შეზღუდვა და გარკვეული სარგებლის შენარჩუნება განაკვეთების შემცირების შემთხვევაში.</t>
  </si>
  <si>
    <t>შეიძლება მიუწვდომელი ან ინდივიდუალურად სტრუქტურირებული იყოს; შეადარეთ ფიქსირებული განაკვეთით რეფინანსირებას.</t>
  </si>
  <si>
    <t>შოკის წლიური დამატებითი ხარჯი</t>
  </si>
  <si>
    <t>რამდენია დამატებითი საპროცენტო ხარჯი წელიწადში.</t>
  </si>
  <si>
    <t>ჯამური დამატებითი ხარჯი ვადის განმავლობაში</t>
  </si>
  <si>
    <t>დაახლოებით ჯამური დამატებითი პროცენტი; ამორტიზაციას არ ითვალისწინებს.</t>
  </si>
  <si>
    <t>უნდა განიხილოს თუ არა საპროცენტო განაკვეთის ჰეჯირება?</t>
  </si>
  <si>
    <t>მრჩეველის შედეგი.</t>
  </si>
  <si>
    <t>მრჩეველის წესები და წყაროები</t>
  </si>
  <si>
    <t>ჰეჯირება გააკეთეთ რისკის ზეგავლენაზე და არა მოლოდინებზე.</t>
  </si>
  <si>
    <t>ჰეჯირებამ უნდა შეამციროს ცნობილი ან სავარაუდო ფულადი ნაკადების რისკი და არა ვალუტის მიმართულებაზე სპეკულაცია.</t>
  </si>
  <si>
    <t>პირველ რიგში ბუნებრივი ჰეჯირება.</t>
  </si>
  <si>
    <t>სადაც შესაძლებელია, სესხის ვალუტა შემოსავლის ვალუტას შეუსაბამეთ; იმპორტის ხარჯები ექსპორტის შემოსავლებს შეუსაბამეთ.</t>
  </si>
  <si>
    <t>ფორვარდი განსაზღვრულობისთვის.</t>
  </si>
  <si>
    <t>ფორვარდი კურსის დაფიქსირებით გამორიცხავს როგორც ზარალს, ისე სარგებელს.</t>
  </si>
  <si>
    <t>ოფციები დაცვისთვის სარგებლის შესაძლებლობით.</t>
  </si>
  <si>
    <t>ოფციებს შეუძლია სარგებლის შესაძლებლობის შენარჩუნება, მაგრამ SME-ებისთვის შეიძლება ძვირი ან მიუწვდომელი იყოს.</t>
  </si>
  <si>
    <t>ნაწილობრივი ჰეჯირება გაურკვევლობის დროს.</t>
  </si>
  <si>
    <t>თუ თანხა/ვადა გაურკვეველია, გამოიყენეთ 50%-80% ჰეჯირება; თავიდან აიცილეთ ჭარბი ჰეჯირება.</t>
  </si>
  <si>
    <t>საპროცენტო განაკვეთის ჰეჯირება, თუ ცვლადი განაკვეთის შოკი არსებითია.</t>
  </si>
  <si>
    <t>თუ 100-300 საბაზისო პუნქტის შოკი საფრთხეს უქმნის DSCR-ს/მარჟას, ჰკითხეთ ბანკს ფიქსირებული განაკვეთით რეფინანსირების, სვოპის, კეპის ან კოლარის შესახებ.</t>
  </si>
  <si>
    <t>წყაროები</t>
  </si>
  <si>
    <t>სებ-ის სავალუტო ფორვარდის ინდექსი: https://nbg.gov.ge/en/page/fx-forward-rate-index ; სებ-ის მონეტარული პოლიტიკის განაკვეთი: https://nbg.gov.ge/en/page/monetary-policy-rate ; არსებული სასწავლო მასალა უთითებს IMF 2024 Georgia financial market review-სა და TBC/TBC Capital-ის წყაროებს; ბანკის სახაზინო პროდუქტების ხელმისაწვდომობა თითოეულ შემთხვევაში ცალკე უნდა დადასტურდეს.</t>
  </si>
  <si>
    <t>ფაქტორინგის მრჩეველი - შესაბამისობის ლოგიკა და ფაქტორინგის/სესხის შედარება</t>
  </si>
  <si>
    <t>შეავსეთ ყვითელი უჯრები. ფურცელი ეხმარება გადაწყვეტილებას, უფრო შესაფერისია ფაქტორინგი, რეგრესის გარეშე ფაქტორინგი, რევერსიული ფაქტორინგი / მიწოდების ჯაჭვის დაფინანსება თუ სტანდარტული სესხი. ასევე ადარებს ინვოისის ფაქტორინგის ხარჯს მოკლევადიან სესხთან იგივე ფულადი დანაკლისისთვის.</t>
  </si>
  <si>
    <t>ფაქტორინგის შესაბამისობის შედეგი</t>
  </si>
  <si>
    <t>ფაქტორინგი ჩვეულებრივ იწყება ვალიდური ინვოისით ან დებიტორული დავალიანებით.</t>
  </si>
  <si>
    <t>შესაბამისობის ქულა</t>
  </si>
  <si>
    <t>არის თუ არა დებიტორული დავალიანება დოკუმენტირებული და სამართლებრივად აღსრულებადი?</t>
  </si>
  <si>
    <t>დიახ / არა / გაურკვეველია</t>
  </si>
  <si>
    <t>ინვოისის ვალიდურობა და დოკუმენტაცია ამცირებს დავისა და ორმაგი დაფინანსების რისკს.</t>
  </si>
  <si>
    <t>არის თუ არა მყიდველი სანდო / კრედიტუნარიანი?</t>
  </si>
  <si>
    <t>ფაქტორინგი ყველაზე ძლიერია, როდესაც მყიდველის რისკი გამყიდველის რისკზე უკეთესია.</t>
  </si>
  <si>
    <t>ძირითადი მიზეზი</t>
  </si>
  <si>
    <t>არის თუ არა ინვოისი სადავო ან სავარაუდოდ სადავო?</t>
  </si>
  <si>
    <t>სადავო დებიტორული დავალიანება ჩვეულებრივ ფაქტორინგისთვის შესაფერისი არ არის.</t>
  </si>
  <si>
    <t>IFRS / ბუღალტრული აღრიცხვის შენიშვნა</t>
  </si>
  <si>
    <t>გადახდის ვადა / დებიტორული დავალიანების დაფარვის ვადა დღეებში</t>
  </si>
  <si>
    <t>ფაქტორინგი ყველაზე სასარგებლოა, როდესაც გადახდის პირობები ფულადი სახსრების დანაკლისს ქმნის. თუ დაფარვის ვადა 30 დღე ან მეტია, ემატება +1 ქულა
თუ 30 დღეზე ნაკლებია, ემატება 0 ქულა
მიზეზი: ფაქტორინგი უფრო აქტუალურია, როდესაც დებიტორული დავალიანება დაფარვის ვადა საკმარისად გრძელია მნიშვნელოვანი ფულადი ნაკადის დანაკლისი.</t>
  </si>
  <si>
    <t>კოეფიციენტზე გავლენის შენიშვნა</t>
  </si>
  <si>
    <t>გადახდის ვადა / დებიტორული დავალიანების დაფარვის ვადა დღეებში (0: &lt;30 დღე; 1: 30-59; 2: 60+)</t>
  </si>
  <si>
    <t>სჭირდება თუ არა მიმწოდებელს თანხა მყიდველის გადახდამდე?</t>
  </si>
  <si>
    <t>თუ თანხის ადრე მიღების საჭიროება არ არსებობს, ფაქტორინგი შეიძლება საჭირო არ იყოს.</t>
  </si>
  <si>
    <t>მრჩეველის გაფრთხილება</t>
  </si>
  <si>
    <t>აკლია თუ არა მიმწოდებელს უზრუნველყოფა, მაგრამ აქვს სანდო ინვოისები?</t>
  </si>
  <si>
    <t>ფაქტორინგი შეიძლება იყოს უზრუნველყოფაზე ძლიერად დამოკიდებული დაკრედიტების ალტერნატივა.</t>
  </si>
  <si>
    <t>ძლიერი მყიდველი მიუთითებს რევერსიულ ფაქტორინგზე / მიწოდების ჯაჭვის დაფინანსებაზე.</t>
  </si>
  <si>
    <t>დამტკიცებული კრედიტორული დავალიანება რევერსიული ფაქტორინგის მთავარი საფუძველია.</t>
  </si>
  <si>
    <t>ხელმისაწვდომია თუ არა მყიდველის მიერ ინიცირებული ადრეული გადახდა ბანკის/პლატფორმის მეშვეობით?</t>
  </si>
  <si>
    <t>თუ დიახ, რევერსიული ფაქტორინგი შეიძლება უკეთესი იყოს, ვიდრე მიმწოდებლის მიერ ინიცირებული ფაქტორინგი.</t>
  </si>
  <si>
    <t>შეუძლია თუ არა მიმწოდებელს რეგრესის მიღება, თუ მყიდველი არ გადაიხდის?</t>
  </si>
  <si>
    <t>დიახ / არა / არ გამოიყენება</t>
  </si>
  <si>
    <t>რეგრესის შემთხვევაში მიმწოდებელი ინარჩუნებს მნიშვნელოვან საკრედიტო რისკს.</t>
  </si>
  <si>
    <t>იღებს თუ არა ფაქტორი/ბანკი მყიდველის საკრედიტო რისკს?</t>
  </si>
  <si>
    <t>თუ დიახ, რეგრესის გარეშე მიდგომა შეიძლება შესაძლებელი იყოს IFRS-ის მიხედვით რისკის გადაცემის პირობით.</t>
  </si>
  <si>
    <t>სურს თუ არა მმს-ს / საბრუნავი კაპიტალის კოეფიციენტების გაუმჯობესება?</t>
  </si>
  <si>
    <t>რეგრესის გარეშე ფაქტორინგმა შეიძლება გააუმჯობესოს DSO და ლევერიჯი; რეგრესიანი ფაქტორინგი ხშირად ვალის მსგავსია.</t>
  </si>
  <si>
    <t>სურს თუ არა SME-ს DSO-ის / საბრუნავი კაპიტალის კოეფიციენტების გაუმჯობესება?</t>
  </si>
  <si>
    <t>არის თუ არა საჭიროება ზოგადი საბრუნავი კაპიტალი, რომელიც ინვოისებს არ უკავშირდება?</t>
  </si>
  <si>
    <t>თუ დიახ, საკრედიტო ხაზი ან საბრუნავი კაპიტალის სესხი შეიძლება უფრო შესაფერისი იყოს.</t>
  </si>
  <si>
    <t>არის თუ არა ჩართული იმპორტი/ექსპორტი ან ტრანსსასაზღვრო მყიდველი?</t>
  </si>
  <si>
    <t>შეიძლება მიუთითებდეს ექსპორტ/იმპორტის ფაქტორინგზე ან ორფაქტორიან მოდელზე.</t>
  </si>
  <si>
    <t>ფაქტორინგისა და სტანდარტული მოკლევადიანი სესხის ხარჯის შედარება</t>
  </si>
  <si>
    <t>ინვოისის თანხა</t>
  </si>
  <si>
    <t>დებიტორული დავალიანების / ინვოისის მთლიანი ღირებულება.</t>
  </si>
  <si>
    <t>გადახდის ვადა დღეებში</t>
  </si>
  <si>
    <t>დღეების რაოდენობა მყიდველის გადახდამდე.</t>
  </si>
  <si>
    <t>ავანსირების განაკვეთი</t>
  </si>
  <si>
    <t>ინვოისის წილი, რომელსაც ფაქტორი წინასწარ იხდის.</t>
  </si>
  <si>
    <t>ფაქტორინგის დისკონტის წლიური განაკვეთი</t>
  </si>
  <si>
    <t>შეიყვანეთ რეალური შეთავაზება. უნივერსალური საჯარო განაკვეთი არ არსებობს; დამოკიდებულია მყიდველზე, რეგრესზე, ვადაზე და ვალუტაზე.</t>
  </si>
  <si>
    <t>ფაქტორინგის მომსახურების საკომისიო ინვოისის %-ად</t>
  </si>
  <si>
    <t>შეიყვანეთ რეალური საკომისიო. შეიძლება მოიცავდეს დამუშავების, პლატფორმის, დებიტორის ადმინისტრირების ან მომსახურების საფასურს.</t>
  </si>
  <si>
    <t>რეზერვი / დაკავება %</t>
  </si>
  <si>
    <t>ინვოისის ნაწილი, რომელიც წინასწარ არ ფინანსდება.</t>
  </si>
  <si>
    <t>ავანსირებული თანხა</t>
  </si>
  <si>
    <t>საკომისიოებამდე/დისკონტამდე ავანსირებული თანხა.</t>
  </si>
  <si>
    <t>დისკონტის ხარჯი</t>
  </si>
  <si>
    <t>ინვოისის ვადისთვის გამარტივებული საპროცენტო/დისკონტის ხარჯი.</t>
  </si>
  <si>
    <t>მომსახურების საკომისიო</t>
  </si>
  <si>
    <t>საკომისიო ინვოისის ღირებულებაზე.</t>
  </si>
  <si>
    <t>წინასწარ მიღებული წმინდა თანხა</t>
  </si>
  <si>
    <t>არასავალდებულო: შეიყვანეთ დაფარვის ვადაზე გათავისუფლებული რეზერვი, თუ ჯამურ მიღებებს მოდელირებთ. გამარტივებული ხარჯის შედარება ფოკუსირებულია წინასწარი თანხის ხარჯზე.</t>
  </si>
  <si>
    <t>დაფარვის ვადაზე გათავისუფლებული რეზერვი</t>
  </si>
  <si>
    <t>გამარტივებულ მოდელში არ გამოიყენება; შეიყვანეთ ხელით, თუ ფაქტორი რეზერვს აკავებს და ნაშთს ათავისუფლებს.</t>
  </si>
  <si>
    <t>ფაქტორინგის ჯამური ხარჯი</t>
  </si>
  <si>
    <t>ხარჯი რეზერვის გათავისუფლების მექანიკის ან დღგ/გადასახადების გარეშე.</t>
  </si>
  <si>
    <t>პერიოდის ეფექტური ხარჯი</t>
  </si>
  <si>
    <t>ხარჯი გაყოფილი მიღებულ წმინდა თანხაზე.</t>
  </si>
  <si>
    <t>წლიურად გადაყვანილი მარტივი ხარჯი</t>
  </si>
  <si>
    <t>მარტივი წლიურად გადაყვანილი ეკვივალენტი მხოლოდ შედარებისთვის.</t>
  </si>
  <si>
    <t>სესხის თანხა იგივე წმინდა თანხისთვის</t>
  </si>
  <si>
    <t>ისესხეთ იგივე წმინდა თანხა, რასაც ფაქტორინგიდან იღებთ.</t>
  </si>
  <si>
    <t>სესხის წლიური საპროცენტო განაკვეთი</t>
  </si>
  <si>
    <t>შეიყვანეთ სტანდარტული მოკლევადიანი სესხის/საკრედიტო ხაზის წლიური განაკვეთი.</t>
  </si>
  <si>
    <t>სესხის გაცემის საკომისიო %</t>
  </si>
  <si>
    <t>შეიყვანეთ ბანკის საკომისიო, თუ გამოიყენება.</t>
  </si>
  <si>
    <t>სესხის საპროცენტო ხარჯი</t>
  </si>
  <si>
    <t>მარტივი პროცენტი იმავე ვადისთვის.</t>
  </si>
  <si>
    <t>სესხის საკომისიო</t>
  </si>
  <si>
    <t>წინასწარი საკომისიო.</t>
  </si>
  <si>
    <t>სესხის ჯამური ხარჯი</t>
  </si>
  <si>
    <t>სესხის ხარჯი იმავე პერიოდისთვის.</t>
  </si>
  <si>
    <t>ხარჯის სხვაობა: ფაქტორინგი - სესხი</t>
  </si>
  <si>
    <t>დადებითი ნიშნავს, რომ შეყვანილი დაშვებებით ფაქტორინგი უფრო ძვირია.</t>
  </si>
  <si>
    <t>გადაწყვეტილების შენიშვნა</t>
  </si>
  <si>
    <t>პირდაპირი ხარჯის სხვაობა განიხილეთ რისკის/უზრუნველყოფის/აღრიცხვის სარგებელთან ერთად.</t>
  </si>
  <si>
    <t>ფაქტორინგის წარგენის გზამკვლევი</t>
  </si>
  <si>
    <t>თემა</t>
  </si>
  <si>
    <t>რევერსიული ფაქტორინგი / მიწოდების ჯაჭვის დაფინანსება</t>
  </si>
  <si>
    <t>მრჩეველის შენიშვნა</t>
  </si>
  <si>
    <t>ინიციატორი</t>
  </si>
  <si>
    <t>მიმწოდებელი</t>
  </si>
  <si>
    <t>მყიდველი / წამყვანი კომპანია</t>
  </si>
  <si>
    <t>ეს არის მთავარი საკლასიფიკაციო განსხვავება.</t>
  </si>
  <si>
    <t>დაფინანსებული ობიექტი</t>
  </si>
  <si>
    <t>მიმწოდებელი დებიტორული დავალიანება / ინვოისი</t>
  </si>
  <si>
    <t>მყიდველის მიერ დამტკიცებული კრედიტორული დავალიანება</t>
  </si>
  <si>
    <t>რევერსიული ფაქტორინგი დამტკიცებული კრედიტორული დავალიანების პროცესს ეყრდნობა.</t>
  </si>
  <si>
    <t>რისკის ფოკუსი</t>
  </si>
  <si>
    <t>მყიდველი და მიმწოდებელი, რეგრესის მიხედვით</t>
  </si>
  <si>
    <t>ჩვეულებრივ მყიდველის საკრედიტო ხარისხი და კრედიტორული დავალიანების დამტკიცება</t>
  </si>
  <si>
    <t>ძლიერ მყიდველს შეუძლია რისკისა და ფასის შემცირება.</t>
  </si>
  <si>
    <t>ბუღალტრული აღრიცხვა</t>
  </si>
  <si>
    <t>აღიარების შეწყვეტა მხოლოდ მაშინ, თუ რისკები/სარგებელი IFRS 9-ის მიხედვით გადადის</t>
  </si>
  <si>
    <t>შეიძლება გავრცელდეს მიმწოდებლის დაფინანსების გამჟღავნების მოთხოვნები IAS 7 / IFRS 7-ის მიხედვით</t>
  </si>
  <si>
    <t>ავტომატურად ნუ წარმოადგენთ ბალანსგარეშე პოზიციად.</t>
  </si>
  <si>
    <t>საუკეთესოა, როდესაც</t>
  </si>
  <si>
    <t>მიმწოდებელს აქვს ვალიდური ინვოისები და თანხის ადრე მიღება სურს</t>
  </si>
  <si>
    <t>მიმწოდებელი ყიდის ძლიერ მყიდველზე დამტკიცებული კრედიტორული დავალიანების პროგრამით</t>
  </si>
  <si>
    <t>ორივე საბრუნავი კაპიტალის ინსტრუმენტია, რომელიც დებიტორულ/კრედიტორულ დავალიანებას უკავშირდება.</t>
  </si>
  <si>
    <t>მრჩეველის წესები</t>
  </si>
  <si>
    <t>წესი</t>
  </si>
  <si>
    <t>პრაქტიკული მნიშვნელობა</t>
  </si>
  <si>
    <t>გამოიყენეთ ფაქტორინგი დებიტორული დავალიანებისთვის და არა ზოგადი ლიკვიდობისთვის.</t>
  </si>
  <si>
    <t>თუ ინვოისი/დებიტორული დავალიანება არ არსებობს, გამოიყენეთ საბრუნავი კაპიტალის სესხის ან საკრედიტო ხაზის ლოგიკა.</t>
  </si>
  <si>
    <t>პირველ ადგილზეა ინვოისის ხარისხი.</t>
  </si>
  <si>
    <t>სადავო, დაუდოკუმენტირებელი ან ორმაგად დაფინანსებული დებიტორული დავალიანება სუსტი ფაქტორინგის შემთხვევებია.</t>
  </si>
  <si>
    <t>მყიდველის ხარისხი შეიძლება მიმწოდებლის უზრუნველყოფაზე მნიშვნელოვანი იყოს.</t>
  </si>
  <si>
    <t>ფაქტორინგი ყველაზე ძლიერია, როდესაც მყიდველი სანდოა და გადახდა პროგნოზირებადია.</t>
  </si>
  <si>
    <t>გამიჯნეთ რეგრესიანი და რეგრესის გარეშე ფაქტორინგი.</t>
  </si>
  <si>
    <t>რეგრესის შემთხვევაში მიმწოდებელი ინარჩუნებს რისკს და აღრიცხვა შეიძლება ვალს ჰგავდეს.</t>
  </si>
  <si>
    <t>რევერსიულ ფაქტორინგს მყიდველი წარმართავს.</t>
  </si>
  <si>
    <t>ის ეფუძნება დამტკიცებულ კრედიტორულ დავალიანებას და უნდა კლასიფიცირდეს მიწოდების ჯაჭვის დაფინანსებად.</t>
  </si>
  <si>
    <t>შეადარეთ ჯამური ხარჯი და სარგებელი.</t>
  </si>
  <si>
    <t>ფაქტორინგი შეიძლება სესხზე ძვირი იყოს, მაგრამ შეუძლია გააუმჯობესოს სისწრაფე, უზრუნველყოფის გამოყენება, DSO, ამოღებები და მყიდველის რისკის მართვა.</t>
  </si>
  <si>
    <t>როგორ მუშაობს საბრუნავი კაპიტალის პროდუქტის მრჩეველი</t>
  </si>
  <si>
    <t>ეს ფურცელი ხსნის საბრუნავი კაპიტალის პროდუქტის მრჩეველის კითხვარის ლოგიკას: როგორ გარდაიქმნება პასუხები რეკომენდებულ პროდუქტად, ალტერნატიულ პროდუქტად, დაფარვის სტრუქტურად, უზრუნველყოფის/რისკის რჩევად და ზოგად რისკის რანგად.</t>
  </si>
  <si>
    <t>1. ინსტრუმენტის მიზანი</t>
  </si>
  <si>
    <t>ინსტრუმენტი განკუთვნილია SME საკონსულტაციო სამუშაოსთვის. ის არ ცვლის ბანკის ანდერრაიტინგს. ეხმარება მრჩეველს სწორი კითხვების დასმაში, დაფინანსების საჭიროების შესაბამის საბრუნავი კაპიტალის პროდუქტთან მისადაგებაში, გამაფრთხილებელი ნიშნების იდენტიფიცირებასა და ბანკთან უფრო მკაფიო განხილვის მომზადებაში.</t>
  </si>
  <si>
    <t>2. მთავარი იდეა: პროდუქტის შერჩევა იწყება ფულადი ნაკადების პროფილიდან</t>
  </si>
  <si>
    <t>კითხვა</t>
  </si>
  <si>
    <t>რას ნიშნავს პასუხი</t>
  </si>
  <si>
    <t>სავარაუდო პროდუქტის მიმართულება</t>
  </si>
  <si>
    <t>მრჩეველის ინტერპრეტაცია</t>
  </si>
  <si>
    <t>მსესხებელმა იცის თანხა, ვადა და მიზანი.</t>
  </si>
  <si>
    <t>საბრუნავი კაპიტალი ვადიანი სესხი, მოკლევადიანი ბიზნეს სესხი, ფაქტორინგი, or ვაჭრობის დაფინანსება.</t>
  </si>
  <si>
    <t>ცნობილი საჭიროებები უნდა შეუსაბამდეს კონკრეტულ დაფარვის წყაროსა და ფულადი კონვერსიის პერიოდს.</t>
  </si>
  <si>
    <t>თუ წინასწარ ცნობილი არ არის, არის თუ არა საჭიროება განმეორებითი და რევოლვირებადი?</t>
  </si>
  <si>
    <t>მსესხებელი რეგულარულად ითვისებს, ფარავს და ხელახლა ითვისებს თანხას.</t>
  </si>
  <si>
    <t>საკრედიტო ხაზი.</t>
  </si>
  <si>
    <t>რევოლვირებადი ხასიათი ჩვეულებრივ არ უნდა დაფინანსდეს განმეორებითი ცალკეული ვადიანი სესხებით.</t>
  </si>
  <si>
    <t>გრძელდება თუ არა დანაკლისი მხოლოდ დღეები ან რამდენიმე კვირა?</t>
  </si>
  <si>
    <t>დროებითი შეუსაბამობა გასავალ გადახდებსა და შემომავალ თანხას შორის.</t>
  </si>
  <si>
    <t>ოვერდრაფტი.</t>
  </si>
  <si>
    <t>ოვერდრაფტი მოკლე ლიკვიდობის დანაკლისისთვისაა და არა მუდმივი საბრუნავი კაპიტალისთვის.</t>
  </si>
  <si>
    <t>არსებობს თუ არა ფორმალური ინვოისი?</t>
  </si>
  <si>
    <t>დაფარვის წყაროა მყიდველის დებიტორული დავალიანება.</t>
  </si>
  <si>
    <t>ფაქტორინგი / ინვოისი დაფინანსება.</t>
  </si>
  <si>
    <t>თუ მყიდველი SME-ზე ძლიერია, ფაქტორინგი შეიძლება სესხზე უფრო შესაფერისი იყოს.</t>
  </si>
  <si>
    <t>უკავშირდება თუ არა ტრანზაქცია იმპორტს/ექსპორტს?</t>
  </si>
  <si>
    <t>გადახდის, მიწოდებისა და დოკუმენტაციის რისკები საჭიროების ნაწილია.</t>
  </si>
  <si>
    <t>ვაჭრობის დაფინანსება / მოკლევადიანი იმპორტის სესხი.</t>
  </si>
  <si>
    <t>ვაჭრობის დაფინანსებამ შეიძლება რისკისა და ვადების საკითხები უბრალო ფულად სესხზე უკეთ გადაჭრას.</t>
  </si>
  <si>
    <t>3. მრჩეველის ფურცელში გამოყენებული ძირითადი გადაწყვეტილების ხე</t>
  </si>
  <si>
    <t>ნაბიჯი</t>
  </si>
  <si>
    <t>ლოგიკა</t>
  </si>
  <si>
    <t>რატომ</t>
  </si>
  <si>
    <t>1</t>
  </si>
  <si>
    <t>არსებობს ფორმალური ინვოისი / დებიტორული დავალიანება.</t>
  </si>
  <si>
    <t>დებიტორული დავალიანება თავად შეიძლება გახდეს დაფარვის წყარო და რისკის საყრდენი.</t>
  </si>
  <si>
    <t>2</t>
  </si>
  <si>
    <t>არსებობს იმპორტ/ექსპორტის ტრანზაქცია.</t>
  </si>
  <si>
    <t>საჭიროება მოიცავს დოკუმენტურ, მიმწოდებლის, გადაზიდვისა და გადახდის ვადების რისკებს.</t>
  </si>
  <si>
    <t>3</t>
  </si>
  <si>
    <t>მყარი უზრუნველყოფა არ არის, ბრუნვა ძლიერია და მოთხოვნილი თანხა მცირეა.</t>
  </si>
  <si>
    <t>არაუზრუნველყოფილი SME სესხი.</t>
  </si>
  <si>
    <t>ბრუნვას შეუძლია დაფარვის მხარდაჭერა მაშინაც, როცა უზრუნველყოფა სუსტია, მაგრამ ფასი ჩვეულებრივ უფრო მაღალია.</t>
  </si>
  <si>
    <t>4</t>
  </si>
  <si>
    <t>ხელმისაწვდომია დეპოზიტი / ნაღდი ფულით უზრუნველყოფა.</t>
  </si>
  <si>
    <t>ნაღდი ფულით/დეპოზიტით უზრუნველყოფილი სესხი.</t>
  </si>
  <si>
    <t>დეპოზიტი ამცირებს საკრედიტო რისკს და შეიძლება გააუმჯობესოს დამტკიცება/ფასი, მაგრამ ბლოკავს ლიკვიდობას.</t>
  </si>
  <si>
    <t>5</t>
  </si>
  <si>
    <t>ცნობილი საჭიროება, დადასტურებული შეკვეთა/ხელშეკრულება, ერთჯერადი ხასიათი.</t>
  </si>
  <si>
    <t>მოკლევადიანი ბიზნეს სესხი.</t>
  </si>
  <si>
    <t>სესხი აფინანსებს ერთ ტრანზაქციას და უნდა დაიფაროს ამ ტრანზაქციის შემოდინებიდან.</t>
  </si>
  <si>
    <t>6</t>
  </si>
  <si>
    <t>ცნობილი საჭიროება, ერთჯერადი ან არარევოლვირებადი.</t>
  </si>
  <si>
    <t>საბრუნავი კაპიტალი ვადიანი სესხი.</t>
  </si>
  <si>
    <t>მსესხებელს სჭირდება განსაზღვრული თანხა მარაგისთვის, ნედლეულისთვის, სეზონური მარაგისთვის ან საოპერაციო ციკლისთვის.</t>
  </si>
  <si>
    <t>7</t>
  </si>
  <si>
    <t>განმეორებითი საჭიროება, ძალიან მოკლე დანაკლისი და ანგარიში რეგულარულად ნულდება.</t>
  </si>
  <si>
    <t>ოვერდრაფტი ავსებს მოკლე დროით დანაკლისებს და რეგულარულად უნდა დაბრუნდეს ნულზე/დადებითზე.</t>
  </si>
  <si>
    <t>8</t>
  </si>
  <si>
    <t>განმეორებითი საჭიროება და მერყევი თანხა.</t>
  </si>
  <si>
    <t>მსესხებელს სჭირდება მოქნილი ათვისებისა და დაფარვის შესაძლებლობა.</t>
  </si>
  <si>
    <t>9</t>
  </si>
  <si>
    <t>დასაშვებია EG/RDA/სახელმწიფო გარანტიისთვის.</t>
  </si>
  <si>
    <t>სახელმწიფოს მიერ მხარდაჭერილი საბრუნავი კაპიტალის სესხი.</t>
  </si>
  <si>
    <t>სახელმწიფო მხარდაჭერამ შეიძლება შეამციროს უზრუნველყოფის დანაკლისი ან საპროცენტო ტვირთი, მაგრამ ბანკი მაინც აფასებს საკრედიტო რისკს.</t>
  </si>
  <si>
    <t>10</t>
  </si>
  <si>
    <t>შეყვანილი მონაცემები ერთ პროდუქტს მკაფიოდ არ შეესაბამება.</t>
  </si>
  <si>
    <t>საჭიროა მრჩეველის განხილვა.</t>
  </si>
  <si>
    <t>შემთხვევას შეიძლება სჭირდებოდეს რესტრუქტურიზაცია ან დამატებითი ინფორმაცია.</t>
  </si>
  <si>
    <t>4. განსხვავება საბრუნავი კაპიტალის ვადიან სესხსა და მოკლევადიან ბიზნეს სესხს შორის</t>
  </si>
  <si>
    <t>მახასიათებელი</t>
  </si>
  <si>
    <t>მრჩეველის დასკვნა</t>
  </si>
  <si>
    <t>ძირითადი მიზანი</t>
  </si>
  <si>
    <t>ზოგადი საბრუნავი კაპიტალი: მარაგი, ნედლეული, სეზონური მარაგი ან საოპერაციო ციკლი.</t>
  </si>
  <si>
    <t>ერთი კონკრეტული შეკვეთა, ხელშეკრულება, გადაზიდვა ან მიმწოდებლის გადახდა.</t>
  </si>
  <si>
    <t>ვადიანი სესხი უფრო ფართოა; მოკლევადიანი სესხი ტრანზაქციაზეა მიბმული.</t>
  </si>
  <si>
    <t>დაფარვის წყარო</t>
  </si>
  <si>
    <t>ბიზნესის ზოგადი ფულადი ნაკადი და გაყიდვები საოპერაციო ციკლის განმავლობაში.</t>
  </si>
  <si>
    <t>ფულადი შემოდინება ერთი იდენტიფიცირებული ტრანზაქციიდან.</t>
  </si>
  <si>
    <t>რაც უფრო მკაფიოა ტრანზაქციის დაფარვის წყარო, მით უფრო ძლიერია მოკლევადიანი სესხის შემთხვევა.</t>
  </si>
  <si>
    <t>ტიპიური ვადა</t>
  </si>
  <si>
    <t>რამდენიმე თვიდან რამდენიმე წლამდე, ფულადი კონვერსიისა და სტრუქტურული საჭიროების მიხედვით.</t>
  </si>
  <si>
    <t>ჩვეულებრივ უფრო მოკლეა, ხშირად 30-180 დღე ან 12 თვემდე.</t>
  </si>
  <si>
    <t>არ გამოიყენოთ გრძელი ვადა მოკლევადიანი მარაგისთვის, თუ არ არსებობს სტრუქტურული საბრუნავი კაპიტალის დანაკლისი.</t>
  </si>
  <si>
    <t>საუკეთესო მაგალითი</t>
  </si>
  <si>
    <t>დისტრიბუტორი მაღალი სეზონის წინ ქმნის მარაგს და 6 თვის განმავლობაში გაყიდვებიდან ფარავს.</t>
  </si>
  <si>
    <t>ტრეიდერს აქვს ერთი დადასტურებული შეკვეთა და სჭირდება თანხა საქონლის შესაძენად მყიდველის გადახდამდე.</t>
  </si>
  <si>
    <t>საკითხავია, საჭიროება ნორმალური საოპერაციო ციკლის ნაწილია თუ ერთი კონკრეტული გარიგება.</t>
  </si>
  <si>
    <t>5. პროდუქტების მაგალითები და ყველაზე შესაფერისი შემთხვევები</t>
  </si>
  <si>
    <t>ყველაზე შესაფერისი შემთხვევა</t>
  </si>
  <si>
    <t>მაგალითი</t>
  </si>
  <si>
    <t>ცნობილი თანხა და პროგნოზირებადი ფულადი კონვერსიის ციკლი.</t>
  </si>
  <si>
    <t>სურსათის დისტრიბუტორს სჭირდება GEL 150,000 სეზონური მარაგისთვის, რომელიც 4-6 თვეში გაიყიდება.</t>
  </si>
  <si>
    <t>არაეფექტურია, თუ მსესხებელი განმეორებით ფარავს და ხელახლა სესხულობს.</t>
  </si>
  <si>
    <t>განმეორებითი რევოლვირებადი საჭიროება მერყევი თანხით.</t>
  </si>
  <si>
    <t>იმპორტიორი ყოველთვიურად ყიდულობს, 30-60 დღიანი პირობებით ყიდის, იღებს თანხას და კვლავ ყიდულობს.</t>
  </si>
  <si>
    <t>თუ წლის უმეტეს ნაწილში სრულად გამოიყენება, შეიძლება იყოს სტრუქტურული საბრუნავი კაპიტალი, რომელსაც ვადიანი რეფინანსირება სჭირდება.</t>
  </si>
  <si>
    <t>ძალიან მოკლე ლიკვიდობის დანაკლისი, რომელიც ანგარიშზე შემოდინებებს უკავშირდება.</t>
  </si>
  <si>
    <t>სასტუმრო ხელფასებს 25 რიცხვში იხდის და ბარათით/კორპორაციულ გადახდებს 30 რიცხვში იღებს.</t>
  </si>
  <si>
    <t>არ გამოიყენოთ ოვერდრაფტი მუდმივ კაპიტალად.</t>
  </si>
  <si>
    <t>ერთი დადასტურებული შეკვეთა/ხელშეკრულება/ტრანზაქცია.</t>
  </si>
  <si>
    <t>სამშენებლო მასალების ტრეიდერს სჭირდება GEL 60,000 დადასტურებული შეკვეთის შესასრულებლად, რომელიც 45 დღეში იფარება.</t>
  </si>
  <si>
    <t>თავიდან აიცილეთ, თუ საჭიროება განმეორებითია ან ერთ მკაფიო შემოდინებას არ უკავშირდება.</t>
  </si>
  <si>
    <t>მცირე თანხის საჭიროება, მყარი უზრუნველყოფის გარეშე, ძლიერი და ბანკისთვის ხილული ბრუნვით.</t>
  </si>
  <si>
    <t>მცირე სასურსათო მაღაზიას სჭირდება GEL 30,000 სადღესასწაულო მარაგისთვის, მაგრამ უძრავი ქონებით უზრუნველყოფა არ აქვს.</t>
  </si>
  <si>
    <t>ჩვეულებრივ უფრო მაღალი განაკვეთი და უფრო მკაცრი თანხის ლიმიტები.</t>
  </si>
  <si>
    <t>ფორმალური დებიტორული დავალიანება სანდო მყიდველებისგან.</t>
  </si>
  <si>
    <t>მიმწოდებელს აქვს GEL 100,000-ის ინვოისი სუპერმარკეტების ქსელზე, რომელიც 60 დღეში იფარება.</t>
  </si>
  <si>
    <t>ინვოისი უნდა იყოს ვალიდური, დოკუმენტირებული და არასადავო.</t>
  </si>
  <si>
    <t>ვაჭრობის დაფინანსება</t>
  </si>
  <si>
    <t>იმპორტ/ექსპორტის ტრანზაქცია გადახდის ან მიწოდების რისკით.</t>
  </si>
  <si>
    <t>იმპორტიორს სჭირდება მიმწოდებლის გადახდის მხარდაჭერა 100%-იანი ავანსის გარეშე.</t>
  </si>
  <si>
    <t>დოკუმენტაცია და კონტრაგენტის რისკი მნიშვნელოვანია.</t>
  </si>
  <si>
    <t>მსესხებელს აქვს დეპოზიტი, მაგრამ სჭირდება ლიკვიდობა.</t>
  </si>
  <si>
    <t>კომპანია დეპოზიტის დარღვევის ნაცვლად მის უზრუნველყოფით სესხულობს.</t>
  </si>
  <si>
    <t>დეპოზიტი დაბლოკილია და სხვა ლიკვიდობის საჭიროებებს ვერ ემსახურება.</t>
  </si>
  <si>
    <t>დასაშვები სექტორი ან უზრუნველყოფის დანაკლისი.</t>
  </si>
  <si>
    <t>SME აკმაყოფილებს Enterprise Georgia-ს ან RDA-ს მხარდაჭერის პირობებს და საბანკო სესხი სუბსიდიასთან/გარანტიასთან კომბინირდება.</t>
  </si>
  <si>
    <t>სახელმწიფო მხარდაჭერა ავტომატურ დამტკიცებას არ ნიშნავს.</t>
  </si>
  <si>
    <t>6. გადახდის გრაფიკის ლოგიკა</t>
  </si>
  <si>
    <t>ფულადი ნაკადების პროფილი</t>
  </si>
  <si>
    <t>სასურველი დაფარვის გრაფიკი</t>
  </si>
  <si>
    <t>პროდუქტის შესაბამისობა</t>
  </si>
  <si>
    <t>მიზეზი</t>
  </si>
  <si>
    <t>სტაბილური თვიური ფულადი ნაკადი</t>
  </si>
  <si>
    <t>თვიური შენატანები.</t>
  </si>
  <si>
    <t>საბრუნავი კაპიტალის ვადიანი სესხი ან არაუზრუნველყოფილი SME სესხი.</t>
  </si>
  <si>
    <t>პროგნოზირებად ფულად ნაკადს შეუძლია რეგულარული შენატანების მხარდაჭერა.</t>
  </si>
  <si>
    <t>სეზონური შემოსავალი</t>
  </si>
  <si>
    <t>სეზონური ან კვარტალური დაფარვა.</t>
  </si>
  <si>
    <t>საბრუნავი კაპიტალის ვადიანი სესხი / აგრო სესხი.</t>
  </si>
  <si>
    <t>დაფარვა უნდა მიჰყვეს მოსავლის, ტურიზმის ან მაღალი სეზონის ამოღებებს.</t>
  </si>
  <si>
    <t>არარეგულარული განმეორებითი ფულადი ნაკადი</t>
  </si>
  <si>
    <t>მოქნილი ათვისება/დაფარვა.</t>
  </si>
  <si>
    <t>მსესხებელმა უნდა დაფაროს თანხის მიღებისას და საჭიროების შემთხვევაში ხელახლა აითვისოს.</t>
  </si>
  <si>
    <t>მოსალოდნელი დებიტორული დავალიანება</t>
  </si>
  <si>
    <t>კლიენტის გადახდის შემდეგ.</t>
  </si>
  <si>
    <t>ფაქტორინგი.</t>
  </si>
  <si>
    <t>დაფარვა დაკავშირებულია ინვოისის დაფარვის ვადასთან.</t>
  </si>
  <si>
    <t>დღეების/კვირების დროებითი დანაკლისი</t>
  </si>
  <si>
    <t>ავტომატური დაფარვა ანგარიშზე შემოდინებებიდან.</t>
  </si>
  <si>
    <t>ანგარიში რეგულარულად უნდა დაბრუნდეს ნულზე/დადებითზე.</t>
  </si>
  <si>
    <t>ერთი შეკვეთა/ხელშეკრულება</t>
  </si>
  <si>
    <t>ერთიანი ან ტრანზაქციული დაფარვა.</t>
  </si>
  <si>
    <t>დაფარვის მოვლენა კონკრეტული და იდენტიფიცირებადია.</t>
  </si>
  <si>
    <t>7. უზრუნველყოფისა და ფასის ლოგიკა</t>
  </si>
  <si>
    <t>პირობა</t>
  </si>
  <si>
    <t>გავლენა რისკზე / ფასზე</t>
  </si>
  <si>
    <t>სავარაუდო გავლენა პროდუქტზე</t>
  </si>
  <si>
    <t>ძლიერი უძრავი ქონებით უზრუნველყოფა</t>
  </si>
  <si>
    <t>ამოღების დაბალი რისკი; შეიძლება გააუმჯობესოს დამტკიცება და ფასი.</t>
  </si>
  <si>
    <t>უზრუნველყოფილი სესხი ან საკრედიტო ხაზი.</t>
  </si>
  <si>
    <t>მაინც შეამოწმეთ ფულადი ნაკადის შესაძლებლობა; უზრუნველყოფა დაფარვა არ არის.</t>
  </si>
  <si>
    <t>დეპოზიტი / ნაღდი ფულით უზრუნველყოფა</t>
  </si>
  <si>
    <t>უზრუნველყოფის ყველაზე დაბალი რისკი, მაგრამ ლიკვიდობა დაბლოკილია.</t>
  </si>
  <si>
    <t>სასარგებლოა, თუ დეპოზიტის სარგებლის შენარჩუნება ღირებულია.</t>
  </si>
  <si>
    <t>დებიტორული დავალიანება ძლიერი მყიდველისგან</t>
  </si>
  <si>
    <t>მყიდველის რისკი შეიძლება მსესხებლის რისკზე უკეთესი იყოს.</t>
  </si>
  <si>
    <t>ფაქტორინგი ან დებიტორული დავალიანებით უზრუნველყოფილი ლიმიტი.</t>
  </si>
  <si>
    <t>შეამოწმეთ ინვოისის ვალიდურობა და რეგრესის სტრუქტურა.</t>
  </si>
  <si>
    <t>მყარი უზრუნველყოფა არ არის, მაგრამ ბრუნვა ძლიერია</t>
  </si>
  <si>
    <t>უფრო მაღალი საკრედიტო რისკი, მაგრამ ხილული დაფარვის წყარო.</t>
  </si>
  <si>
    <t>მსესხებელს უზრუნველყოფა არ აქვს, მაგრამ აქვს ბრუნვა: შეიძლება შეესაბამებოდეს არაუზრუნველყოფილი SME სესხი.</t>
  </si>
  <si>
    <t>სუსტი უზრუნველყოფა და დასაშვები სექტორი</t>
  </si>
  <si>
    <t>სახელმწიფო გარანტიას/სუბსიდიას შეუძლია დანაკლისის შემცირება.</t>
  </si>
  <si>
    <t>EG/RDA/სახელმწიფოს მიერ მხარდაჭერილი ლიმიტი.</t>
  </si>
  <si>
    <t>დაადასტურეთ პროგრამის დასაშვებობა და ბანკის მონაწილეობა.</t>
  </si>
  <si>
    <t>სესხის ვალუტა განსხვავდება შემოსავლის ვალუტისგან</t>
  </si>
  <si>
    <t>სავალუტო გაუფასურებამ შეიძლება შეასუსტოს დაფარვის უნარი.</t>
  </si>
  <si>
    <t>უპირატესობა მიანიჭეთ GEL სესხს ან ბუნებრივ ჰეჯირებას.</t>
  </si>
  <si>
    <t>სადაც შესაძლებელია, სესხის ვალუტა შემოსავლის ვალუტას შეუსაბამეთ.</t>
  </si>
  <si>
    <t>გრძელი ვადა მოკლევადიანი მარაგისთვის</t>
  </si>
  <si>
    <t>უფრო მაღალი შეუსაბამობის რისკი და ჯამური საპროცენტო ხარჯი.</t>
  </si>
  <si>
    <t>უფრო მოკლე სესხი ან საკრედიტო ხაზი.</t>
  </si>
  <si>
    <t>ვადა მიზეზის გარეშე არ უნდა აღემატებოდეს ეკონომიკურ სიცოცხლეს/ფულად ციკლს.</t>
  </si>
  <si>
    <t>8. რისკის ქულების ლოგიკა</t>
  </si>
  <si>
    <t>დაბალი რისკი: 0 ქულა</t>
  </si>
  <si>
    <t>საშუალო რისკი: 1 ქულა</t>
  </si>
  <si>
    <t>მაღალი რისკი: 2 ქულა</t>
  </si>
  <si>
    <t>3 წელზე მეტი.</t>
  </si>
  <si>
    <t>1-3 წელი.</t>
  </si>
  <si>
    <t>1 წელზე ნაკლები.</t>
  </si>
  <si>
    <t>აუდიტირებული / მოწესრიგებული საგადასახადო ჩანაწერები.</t>
  </si>
  <si>
    <t>საბაზისო ბუღალტერია.</t>
  </si>
  <si>
    <t>არაფორმალური ან არასრული ჩანაწერები.</t>
  </si>
  <si>
    <t>სტაბილური და ბანკისთვის ხილული.</t>
  </si>
  <si>
    <t>სეზონური.</t>
  </si>
  <si>
    <t>არარეგულარული ან ძირითადად ნაღდი ანგარიშსწორება.</t>
  </si>
  <si>
    <t>სტაბილურად დადებითი მარჟა.</t>
  </si>
  <si>
    <t>მერყევი მარჟა.</t>
  </si>
  <si>
    <t>ზარალიანი.</t>
  </si>
  <si>
    <t>1.30x ან მეტი.</t>
  </si>
  <si>
    <t>1.10x-1.29x.</t>
  </si>
  <si>
    <t>1.10x-ზე ნაკლები.</t>
  </si>
  <si>
    <t>120% ან მეტი.</t>
  </si>
  <si>
    <t>80%-119%.</t>
  </si>
  <si>
    <t>80%-ზე ნაკლები ან არ არის.</t>
  </si>
  <si>
    <t>დივერსიფიცირებული კლიენტთა ბაზა.</t>
  </si>
  <si>
    <t>ზომიერი კონცენტრაცია.</t>
  </si>
  <si>
    <t>ერთი/რამდენიმე მყიდველი.</t>
  </si>
  <si>
    <t>90 დღე ან ნაკლები.</t>
  </si>
  <si>
    <t>91-180 დღე.</t>
  </si>
  <si>
    <t>180 დღეზე მეტი.</t>
  </si>
  <si>
    <t>60 დღე ან ნაკლები.</t>
  </si>
  <si>
    <t>61-120 დღე.</t>
  </si>
  <si>
    <t>120 დღეზე მეტი.</t>
  </si>
  <si>
    <t>სესხის ვალუტა ემთხვევა შემოსავალს.</t>
  </si>
  <si>
    <t>ნაწილობრივი შეუსაბამობა.</t>
  </si>
  <si>
    <t>სესხის ვალუტა განსხვავდება შემოსავლისგან.</t>
  </si>
  <si>
    <t>რეგულარულად ნულდება.</t>
  </si>
  <si>
    <t>ზოგჯერ ნულდება.</t>
  </si>
  <si>
    <t>არ ნულდება.</t>
  </si>
  <si>
    <t>სტაბილური სექტორი.</t>
  </si>
  <si>
    <t>სეზონური სექტორი.</t>
  </si>
  <si>
    <t>მერყევი/მაღალი რისკის სექტორი.</t>
  </si>
  <si>
    <t>9. რისკის რანგის ინტერპრეტაცია</t>
  </si>
  <si>
    <t>ჯამური ქულა</t>
  </si>
  <si>
    <t>რისკის რანგი</t>
  </si>
  <si>
    <t>მრჩეველის განმარტება</t>
  </si>
  <si>
    <t>ტიპიური ქმედება</t>
  </si>
  <si>
    <t>0-5</t>
  </si>
  <si>
    <t>დაბალი რისკი</t>
  </si>
  <si>
    <t>მოწესრიგებული შემთხვევა ძლიერი დაფარვის ხილვადობით.</t>
  </si>
  <si>
    <t>გააგრძელეთ ყველაზე შესაფერისი პროდუქტით და უზრუნველყოფის/ფასის ჩვეულებრივი განხილვით.</t>
  </si>
  <si>
    <t>6-12</t>
  </si>
  <si>
    <t>საშუალო რისკი</t>
  </si>
  <si>
    <t>არსებობს გარკვეული სისუსტეები, მაგრამ სტრუქტურამ შეიძლება გადაჭრას.</t>
  </si>
  <si>
    <t>შეასწორეთ ვადა, უზრუნველყოფა, დაფარვის გრაფიკი ან პროდუქტის ტიპი.</t>
  </si>
  <si>
    <t>13+</t>
  </si>
  <si>
    <t>მაღალი რისკი</t>
  </si>
  <si>
    <t>Material დაფარვა, უზრუნველყოფა, records, or ფულადი ნაკადის რისკი.</t>
  </si>
  <si>
    <t>Consider smaller თანხა, stronger უზრუნველყოფა, state guarantee, ფაქტორინგი, or decline/restructure.</t>
  </si>
  <si>
    <t>10. Key advisor warnings built into the tool</t>
  </si>
  <si>
    <t>The biggest mistake SMEs make is using an overdraft as permanent capital. If the balance does not return to zero or positive regularly, it is not a temporary liquidity დანაკლისი anymore; it is structural საბრუნავი კაპიტალი and should usually be refinanced into a საბრუნავი კაპიტალი ვადიანი სესხი or properly sized საკრედიტო ხაზი.</t>
  </si>
  <si>
    <t>Borrower lacks უზრუნველყოფა but has turnover: consider unsecured SME სესხი. However, unsecured lending is normally more expensive and has tighter თანხა limits because the bank has weaker recovery protection.</t>
  </si>
  <si>
    <t>Match დაფარვა გრაფიკი to real ფულადი ნაკადი. თვიური დაფარვა is not automatically correct for სეზონური agriculture, tourism, or import cycles. სეზონური, bullet, or flexible დაფარვა can be more appropriate if justified by collections.</t>
  </si>
  <si>
    <t>State programs such as Enterprise Georgia, RDA, or guarantee mechanisms can improve affordability or უზრუნველყოფა coverage, but they do not replace normal bank credit assessment.</t>
  </si>
  <si>
    <t>11. Main საბრუნავი კაპიტალის პროდუქტიs in Georgian banks</t>
  </si>
  <si>
    <t>How Georgian banks usually position it</t>
  </si>
  <si>
    <t>საუკეთესო გამოყენების შემთხვევა</t>
  </si>
  <si>
    <t>Typical pricing/რისკი driver</t>
  </si>
  <si>
    <t>Standard ბიზნესი / საბრუნავი კაპიტალი სესხი</t>
  </si>
  <si>
    <t>A ვადიანი სესხი for inventory, raw materials, მიმწოდებელი payments, სეზონური stock, or operating expenses.</t>
  </si>
  <si>
    <t>უზრუნველყოფა strength, ვადა, DSCR, financial records, and sector რისკი.</t>
  </si>
  <si>
    <t>A revolving limit for repeated short-term საბრუნავი კაპიტალი needs; interest normally applies to used თანხა, sometimes with unused-limit საკომისიოs.</t>
  </si>
  <si>
    <t>Recurring draw/repay cycles.</t>
  </si>
  <si>
    <t>Limit utilization, turnover stability, უზრუნველყოფა, and renewal რისკი.</t>
  </si>
  <si>
    <t>მიმდინარე-account facility for urgent short liquidity დანაკლისიs; interest on utilized balance.</t>
  </si>
  <si>
    <t>Short დანაკლისი before expected inflow.</t>
  </si>
  <si>
    <t>Account turnover behavior and whether the overdraft clears regularly.</t>
  </si>
  <si>
    <t>Transaction სესხი for one order, shipment, contract, or მიმწოდებელი payment.</t>
  </si>
  <si>
    <t>One clear დაფარვა event.</t>
  </si>
  <si>
    <t>Transaction quality, მყიდველი/payment certainty, and short ვადა.</t>
  </si>
  <si>
    <t>არაუზრუნველყოფილი ბიზნეს სესხი</t>
  </si>
  <si>
    <t>Smaller სესხი without hard უზრუნველყოფა, usually based on turnover and borrower history.</t>
  </si>
  <si>
    <t>Small SME with strong turnover but weak უზრუნველყოფა.</t>
  </si>
  <si>
    <t>Higher credit margin due to weak უზრუნველყოფა.</t>
  </si>
  <si>
    <t>Early ნაღდი ფული against დებიტორული დავალიანება/ინვოისები.</t>
  </si>
  <si>
    <t>Long customer payment terms.</t>
  </si>
  <si>
    <t>მყიდველი quality, ინვოისი validity, recourse/non-recourse structure.</t>
  </si>
  <si>
    <t>Letters of credit, guarantees, documentary collections, import/export finance.</t>
  </si>
  <si>
    <t>Import/export payment and delivery timing.</t>
  </si>
  <si>
    <t>Country, counterparty, document, and სავალუტო რისკები.</t>
  </si>
  <si>
    <t>სესხი secured by borrower deposit/ნაღდი ფული უზრუნველყოფა.</t>
  </si>
  <si>
    <t>Liquidity need without breaking deposit.</t>
  </si>
  <si>
    <t>Deposit coverage and opportunity ხარჯი of blocked ნაღდი ფული.</t>
  </si>
  <si>
    <t>Agro / State-supported facilities</t>
  </si>
  <si>
    <t>Bank credit combined with RDA, Enterprise Georgia, or guarantee support where eligible.</t>
  </si>
  <si>
    <t>Eligible sector, capex/საბრუნავი კაპიტალი mix, or უზრუნველყოფა დანაკლისი.</t>
  </si>
  <si>
    <t>Program rules plus bank underwriting.</t>
  </si>
  <si>
    <t>12. წყაროs and review note</t>
  </si>
  <si>
    <t>Market logic was built from public პროდუქტი pages and advisory synthesis reviewed on 19 June 2026, including TBC ბიზნესი სესხი, საკრედიტო ხაზი, overdraft, ფაქტორინგი and ვაჭრობის დაფინანსება pages; Terabank საბრუნავი კაპიტალი დაფინანსება, საკრედიტო ხაზი and overdraft pages; ProCredit ბიზნესი დაფინანსება menu; BasisBank ბიზნესი დაფინანსება page; and Enterprise Georgia/RDA state-supported funding pages. Bank terms change, so final client advice should confirm მიმდინარე განაკვეთიs, საკომისიოs, უზრუნველყოფა rules, and eligibility directly with the bank.</t>
  </si>
  <si>
    <t>ლიზინგის მრჩეველი - შესაბამისობის ლოგიკა და ლიზინგის/სესხის ღირებულების შედარება</t>
  </si>
  <si>
    <t>შეავსეთ ყვითელი უჯრები. ფურცელი ამოწმებს, როდის არის ლიზინგი ყველაზე შესაფერისი და ადარებს მას სტანდარტულ ძირითადი აქტივის/ბიზნეს სესხს. Terabank/Tera Leasing-ის საჯარო განაკვეთები მოცემულია მაგალითებად და კლიენტისთვის რჩევის მიცემამდე უნდა გადამოწმდეს.</t>
  </si>
  <si>
    <t>ლიზინგის შესაბამისობის შედეგი</t>
  </si>
  <si>
    <t>ქულების მინიჭება</t>
  </si>
  <si>
    <t>საჭიროა თუ არა დაფინანსება კონკრეტული აქტივისთვის?</t>
  </si>
  <si>
    <t>ლიზინგი იწყება SME-ის მიერ შერჩეული იდენტიფიცირებადი აქტივით.</t>
  </si>
  <si>
    <t>ლიზინგის შესაბამისობის ქულა</t>
  </si>
  <si>
    <t>აქტივის კატეგორია</t>
  </si>
  <si>
    <t>დანადგარები/აღჭურვილობა</t>
  </si>
  <si>
    <t>დანადგარები/აღჭურვილობა; ავტომობილი/ავტოპარკი; სამშენებლო ტექნიკა; სამედიცინო აღჭურვილობა; სასოფლო-სამეურნეო ტექნიკა; კომერციული უძრავი ქონება; სხვა</t>
  </si>
  <si>
    <t>აქტივის ტიპი გავლენას ახდენს გადაყიდვის ღირებულებაზე, დაზღვევასა და შესაფერის ლიზინგის პროდუქტზე.</t>
  </si>
  <si>
    <t>რეკომენდაცია</t>
  </si>
  <si>
    <t>ქმნის თუ არა აქტივი შემოსავალს ან ამცირებს ხარჯებს?</t>
  </si>
  <si>
    <t>ლიზინგის გადახდებს უნდა უჭერდეს მხარს ახალი შემოსავალი, პროდუქტიულობის ზრდა ან ხარჯების დანაზოგი.</t>
  </si>
  <si>
    <t>არის თუ არა აქტივი იდენტიფიცირებადი, დაზღვევადი და გადაყიდვადი?</t>
  </si>
  <si>
    <t>აქტივის ხარისხი და გადაყიდვის ბაზარი ლიზინგის დამტკიცებისთვის ცენტრალურია.</t>
  </si>
  <si>
    <t>რისკის გაფრთხილება</t>
  </si>
  <si>
    <t>აკლია თუ არა მსესხებელს მისაღები უძრავი ქონებით უზრუნველყოფა?</t>
  </si>
  <si>
    <t>როდესაც სტანდარტული სესხის უზრუნველყოფა სუსტია, ლიზინგი შეიძლება უფრო სასურველი იყოს.</t>
  </si>
  <si>
    <t>შეთავაზებული პროდუქტი</t>
  </si>
  <si>
    <t>არის თუ არა აქტივი დასაშვები Enterprise Georgia-ის ან RDA-ის ფარგლებში?</t>
  </si>
  <si>
    <t>სახელმწიფო სუბსიდიას შეუძლია ლიზინგის ხელმისაწვდომობის მნიშვნელოვნად გაუმჯობესება.</t>
  </si>
  <si>
    <t>უკავშირდება თუ არა საჭიროება მარაგს, ხელფასებს, დებიტორულ დავალიანებას ან ლიკვიდობის დანაკლისს?</t>
  </si>
  <si>
    <t>თუ დიახ, ლიზინგი სწორი პროდუქტი არ არის; გამოიყენეთ საბრუნავი კაპიტალის პროდუქტები.</t>
  </si>
  <si>
    <t>არის თუ არა აქტივი ძალიან სპეციფიკური ან რთულად გადასაყიდი?</t>
  </si>
  <si>
    <t>ძალიან სპეციფიკური აქტივები ზრდის ლიზინგის რისკს.</t>
  </si>
  <si>
    <t>აღემატება თუ არა მოთხოვნილი ლიზინგის ვადა აქტივის სასარგებლო მომსახურების ვადას?</t>
  </si>
  <si>
    <t>ვადა არ უნდა აღემატებოდეს აქტივის სასარგებლო/ეკონომიკურ სიცოცხლეს.</t>
  </si>
  <si>
    <t>აღემატება თუ არა მოთხოვნილი ლიზინგის ვადა აქტივის სასარგებლო სიცოცხლეს?</t>
  </si>
  <si>
    <t>შეუძლია თუ არა მსესხებელს მოთხოვნილი წინასწარი გადახდის / თანამონაწილეობის განხორციელება?</t>
  </si>
  <si>
    <t>ლიზინგი ჩვეულებრივ მოითხოვს მსესხებლის თანამონაწილეობას.</t>
  </si>
  <si>
    <t>ფარავს თუ არა მოსალოდნელი აქტივის ფულადი ნაკადი ლიზინგის თვიურ გადახდას?</t>
  </si>
  <si>
    <t>დაფარვის ძირითადი ტესტი: აქტივიდან გენერირებულმა თანხამ ლიზინგის გადახდები უნდა უზრუნველყოს.</t>
  </si>
  <si>
    <t xml:space="preserve">აქტივი დაფინანსების ვალუტა </t>
  </si>
  <si>
    <t>GEL</t>
  </si>
  <si>
    <t>GEL; USD; EUR</t>
  </si>
  <si>
    <t>სადაც შესაძლებელია, ვალუტა მსესხებლის შემოსავალს უნდა ემთხვეოდეს.</t>
  </si>
  <si>
    <t>ვალუტა of აქტივი დაფინანსება</t>
  </si>
  <si>
    <t>ემთხვევა თუ არა სესხის/ლიზინგის ვალუტა შემოსავლის ვალუტას?</t>
  </si>
  <si>
    <t>სავალუტო შეუსაბამობამ შეიძლება დაბალი USD/EUR განაკვეთები შეცდომაში შემყვანი გახადოს.</t>
  </si>
  <si>
    <t>არის თუ არა აქტივი სანდო მიმწოდებლისგან და მკაფიო დოკუმენტებით?</t>
  </si>
  <si>
    <t>მიმწოდებლის სანდოობა მნიშვნელოვანია შესყიდვისთვის, რეგისტრაციისთვის, დაზღვევისა და გადაყიდვისთვის.</t>
  </si>
  <si>
    <t>არის თუ არა დაზღვევა ხელმისაწვდომი და მისაღები ფასის?</t>
  </si>
  <si>
    <t>დაზღვევა ჩვეულებრივ სავალდებულოა და ჯამურ ხარჯზე მოქმედებს.</t>
  </si>
  <si>
    <t>ლიზინგისა და სტანდარტული ძირითადი აქტივის სესხის ხარჯის შედარება</t>
  </si>
  <si>
    <t>აქტივის ფასი</t>
  </si>
  <si>
    <t>შეიყვანეთ აქტივის შესყიდვის ფასი.</t>
  </si>
  <si>
    <t>საჯარო განაკვეთის მაგალითები</t>
  </si>
  <si>
    <t>GEL / USD / EUR.</t>
  </si>
  <si>
    <t>ტერა ლიზინგის ეფექტური განაკვეთი</t>
  </si>
  <si>
    <t>Terabank-ის ძირითადი აქტივის სესხის ეფექტური განაკვეთი</t>
  </si>
  <si>
    <t>თანამონაწილეობა / წინასწარი გადახდა %</t>
  </si>
  <si>
    <t>ლიზინგის საჯარო მაგალითი: Tera Leasing 15%-დან.</t>
  </si>
  <si>
    <t>ვადა თვეებში</t>
  </si>
  <si>
    <t>შედარებისთვის გამოიყენეთ იგივე ვადა, თუ სცენარებს არ ტესტავთ.</t>
  </si>
  <si>
    <t>ლიზინგის ეფექტური წლიური განაკვეთი</t>
  </si>
  <si>
    <t>Terabank/Tera Leasing-ის ნაგულისხმევი საჯარო ეფექტური განაკვეთი ვალუტის მიხედვით.</t>
  </si>
  <si>
    <t>სესხის ეფექტური წლიური განაკვეთი</t>
  </si>
  <si>
    <t>Terabank-ის ძირითადი აქტივის სესხის ნაგულისხმევი საჯარო ეფექტური განაკვეთი ვალუტის მიხედვით.</t>
  </si>
  <si>
    <t>Terabank-ის სესხის გვერდზე მითითებულია გაცემის საკომისიო 0.5%-დან.</t>
  </si>
  <si>
    <t>წყაროს შენიშვნა</t>
  </si>
  <si>
    <t>Tera Leasing-ის გვერდი: ეფექტური განაკვეთები 19%-დან GEL-ში, 14%-დან USD-ში, 13%-დან EUR-ში. Terabank-ის ძირითადი აქტივის დაფინანსების გვერდი: ეფექტური განაკვეთები 13%-დან GEL-ში, 7.25%-დან USD-ში, 6.25%-დან EUR-ში; გაცემის საკომისიო 0.5%-დან. საჯარო პირობები შეიძლება შეიცვალოს.</t>
  </si>
  <si>
    <t>დაფინანსებული თანხა</t>
  </si>
  <si>
    <t>აქტივის ფასი მსესხებლის თანამონაწილეობის გამოკლებით.</t>
  </si>
  <si>
    <t>ლიზინგის თვიური გადახდა</t>
  </si>
  <si>
    <t>გამარტივებული ანუიტეტი ეფექტური წლიური განაკვეთის / 12 გამოყენებით.</t>
  </si>
  <si>
    <t>სესხის თვიური გადახდა</t>
  </si>
  <si>
    <t>სესხის წინასწარი გაცემის საკომისიო</t>
  </si>
  <si>
    <t>დაახლოებითი წინასწარი საკომისიო; სხვა რეგისტრაციის/დაზღვევის ხარჯები გამორიცხულია.</t>
  </si>
  <si>
    <t>ლიზინგის ჯამური გადახდები</t>
  </si>
  <si>
    <t>მხოლოდ ლიზინგის თვიური გადახდები; დაზღვევა/საკომისიოები გამორიცხულია, თუ განაკვეთში არ შედის.</t>
  </si>
  <si>
    <t>სესხის ჯამური გადახდები + საკომისიო</t>
  </si>
  <si>
    <t>სესხის გადახდები პლუს წინასწარი გაცემის საკომისიო.</t>
  </si>
  <si>
    <t>ხარჯის სხვაობა: ლიზინგი - სესხი</t>
  </si>
  <si>
    <t>დადებითი ნიშნავს, რომ შეყვანილი დაშვებებით ლიზინგი უფრო ძვირია.</t>
  </si>
  <si>
    <t>თვიური გადახდის სხვაობა</t>
  </si>
  <si>
    <t>დადებითი ნიშნავს, რომ ლიზინგის თვიური გადახდა უფრო მაღალია.</t>
  </si>
  <si>
    <t>მრჩეველის წესები ლიზინგისთვის</t>
  </si>
  <si>
    <t>გამოიყენეთ ლიზინგი აქტივებისთვის და არა ლიკვიდობის დანაკლისისთვის.</t>
  </si>
  <si>
    <t>მარაგის/ხელფასების/დებიტორული დავალიანების საჭიროებები საბრუნავი კაპიტალის პროდუქტებს ეკუთვნის.</t>
  </si>
  <si>
    <t>შეადარეთ ჯამური ხარჯი და არა მხოლოდ განაკვეთი.</t>
  </si>
  <si>
    <t>ლიზინგს შეიძლება უფრო მაღალი ეფექტური განაკვეთი ჰქონდეს, მაგრამ უზრუნველყოფის ტვირთი ნაკლები იყოს; მისაღები უზრუნველყოფის შემთხვევაში სესხი შეიძლება იაფი იყოს.</t>
  </si>
  <si>
    <t>ვადა შეუსაბამეთ აქტივის სასარგებლო სიცოცხლეს.</t>
  </si>
  <si>
    <t>ლიზინგის ვადა არ უნდა აღემატებოდეს სასარგებლო/ეკონომიკურ სიცოცხლეს.</t>
  </si>
  <si>
    <t>შეამოწმეთ აქტივის ფულადი ნაკადი.</t>
  </si>
  <si>
    <t>ახალმა შემოსავალმა/ხარჯების დანაზოგმა გადახდები უნდა დაფაროს.</t>
  </si>
  <si>
    <t>შეამოწმეთ სუბსიდიისთვის დასაშვებობა.</t>
  </si>
  <si>
    <t>EG/RDA-ს შეუძლია ხელმისაწვდომობის მნიშვნელოვნად გაუმჯობესება, მაგრამ ანდერრაიტინგს არ ცვლის.</t>
  </si>
  <si>
    <t>შეამოწმეთ სავალუტო რისკი.</t>
  </si>
  <si>
    <t>დაბალი USD/EUR განაკვეთები შეიძლება რისკიანი იყოს, თუ SME-ის შემოსავლები GEL-შია.</t>
  </si>
  <si>
    <t>სებ-ის სავალუტო ფორვარდის ინდექსი: https://nbg.gov.ge/en/page/fx-forward-rate-index ; სებ-ის მონეტარული პოლიტიკის განაკვეთი: https://nbg.gov.ge/en/page/monetary-policy-rate ; არსებული სასწავლო მასალა უთითებს IMF-ის 2024 წლის საქართველოს ფინანსური ბაზრის მიმოხილვასა და TBC/TBC Capital-ის წყაროებს; ბანკის სახაზინო პროდუქტების ხელმისაწვდომობა თითოეულ შემთხვევაში ცალკე უნდა დადასტურდეს.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</si>
</sst>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00_);_(* \(#,##0.000\);_(* &quot;-&quot;??_);_(@_)"/>
    <numFmt numFmtId="166" formatCode="_(* #,##0.0000_);_(* \(#,##0.0000\);_(* &quot;-&quot;??_);_(@_)"/>
    <numFmt numFmtId="167" formatCode="0.0000"/>
    <numFmt numFmtId="168" formatCode="0.0%"/>
  </numFmts>
  <fonts count="3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sz val="11"/>
      <color theme="8" tint="-0.249977111117893"/>
      <name val="Calibri"/>
      <family val="2"/>
      <scheme val="minor"/>
    </font>
    <font>
      <b/>
      <sz val="15"/>
      <color rgb="FFFFFFFF"/>
      <name val="Calibri"/>
    </font>
    <font>
      <i/>
      <sz val="11"/>
      <color rgb="FF595959"/>
      <name val="Calibri"/>
    </font>
    <font>
      <b/>
      <sz val="11"/>
      <color rgb="FFFFFFFF"/>
      <name val="Calibri"/>
    </font>
    <font>
      <b/>
      <sz val="11"/>
      <name val="Calibri"/>
    </font>
    <font>
      <b/>
      <sz val="13"/>
      <color rgb="FFFFFFFF"/>
      <name val="Calibri"/>
    </font>
    <font>
      <b/>
      <sz val="10"/>
      <color rgb="FFFFFFFF"/>
      <name val="Calibri"/>
    </font>
    <font>
      <sz val="10"/>
      <color theme="1"/>
      <name val="Calibri"/>
      <family val="2"/>
      <scheme val="minor"/>
    </font>
    <font>
      <i/>
      <sz val="10"/>
      <color rgb="FF595959"/>
      <name val="Calibri"/>
    </font>
    <font>
      <b/>
      <sz val="10"/>
      <name val="Calibri"/>
    </font>
    <font>
      <b/>
      <sz val="16"/>
      <color rgb="FFFFFFFF"/>
      <name val="Calibri"/>
    </font>
    <font>
      <b/>
      <sz val="15"/>
      <color rgb="FFFFFFFF"/>
      <name val="Calibri"/>
    </font>
    <font>
      <b/>
      <sz val="11"/>
      <color rgb="FFFFFFFF"/>
      <name val="Calibri"/>
    </font>
    <font>
      <b/>
      <sz val="11"/>
      <name val="Calibri"/>
    </font>
    <font>
      <b/>
      <sz val="13"/>
      <color rgb="FFFFFFFF"/>
      <name val="Calibri"/>
    </font>
    <font>
      <b/>
      <sz val="15"/>
      <color rgb="FFFFFFFF"/>
      <name val="Calibri"/>
    </font>
    <font>
      <i/>
      <sz val="11"/>
      <color rgb="FF595959"/>
      <name val="Calibri"/>
    </font>
    <font>
      <b/>
      <sz val="11"/>
      <color rgb="FFFFFFFF"/>
      <name val="Calibri"/>
    </font>
    <font>
      <b/>
      <sz val="11"/>
      <name val="Calibri"/>
    </font>
    <font>
      <b/>
      <sz val="13"/>
      <color rgb="FFFFFFFF"/>
      <name val="Calibri"/>
    </font>
    <font>
      <sz val="11"/>
      <name val="Calibri"/>
      <family val="2"/>
      <scheme val="minor"/>
    </font>
    <font>
      <b/>
      <sz val="11"/>
      <name val="Calibri"/>
    </font>
    <font>
      <b/>
      <sz val="11"/>
      <name val="Calibri"/>
      <family val="2"/>
      <scheme val="minor"/>
    </font>
    <font>
      <b/>
      <sz val="15"/>
      <color rgb="FFFFFFFF"/>
      <name val="Calibri"/>
    </font>
    <font>
      <i/>
      <sz val="11"/>
      <color rgb="FF595959"/>
      <name val="Calibri"/>
    </font>
    <font>
      <b/>
      <sz val="11"/>
      <color rgb="FFFFFFFF"/>
      <name val="Calibri"/>
    </font>
    <font>
      <b/>
      <sz val="11"/>
      <name val="Calibri"/>
    </font>
    <font>
      <b/>
      <sz val="13"/>
      <color rgb="FFFFFFFF"/>
      <name val="Calibri"/>
    </font>
    <font>
      <b/>
      <sz val="11"/>
      <color rgb="FFFFFFFF"/>
      <name val="Calibri"/>
      <family val="2"/>
    </font>
  </fonts>
  <fills count="32">
    <fill>
      <patternFill patternType="none"/>
    </fill>
    <fill>
      <patternFill patternType="gray125"/>
    </fill>
    <fill>
      <patternFill patternType="solid">
        <fgColor theme="9" tint="0.79998168889431442"/>
        <bgColor indexed="64"/>
      </patternFill>
    </fill>
    <fill>
      <patternFill patternType="solid">
        <fgColor rgb="FF1F4E78"/>
      </patternFill>
    </fill>
    <fill>
      <patternFill patternType="solid">
        <fgColor rgb="FFFFF2CC"/>
      </patternFill>
    </fill>
    <fill>
      <patternFill patternType="solid">
        <fgColor rgb="FFEAF4FB"/>
      </patternFill>
    </fill>
    <fill>
      <patternFill patternType="solid">
        <fgColor rgb="FFE2F0D9"/>
      </patternFill>
    </fill>
    <fill>
      <patternFill patternType="solid">
        <fgColor rgb="FFFFFFFF"/>
      </patternFill>
    </fill>
    <fill>
      <patternFill patternType="solid">
        <fgColor rgb="FF595959"/>
      </patternFill>
    </fill>
    <fill>
      <patternFill patternType="solid">
        <fgColor theme="7" tint="0.79998168889431442"/>
        <bgColor indexed="64"/>
      </patternFill>
    </fill>
    <fill>
      <patternFill patternType="solid">
        <fgColor rgb="FF1F4E78"/>
      </patternFill>
    </fill>
    <fill>
      <patternFill patternType="solid">
        <fgColor rgb="FFFFF2CC"/>
      </patternFill>
    </fill>
    <fill>
      <patternFill patternType="solid">
        <fgColor rgb="FFEAF4FB"/>
      </patternFill>
    </fill>
    <fill>
      <patternFill patternType="solid">
        <fgColor rgb="FFFFFFFF"/>
      </patternFill>
    </fill>
    <fill>
      <patternFill patternType="solid">
        <fgColor rgb="FFE2F0D9"/>
      </patternFill>
    </fill>
    <fill>
      <patternFill patternType="solid">
        <fgColor rgb="FF595959"/>
      </patternFill>
    </fill>
    <fill>
      <patternFill patternType="solid">
        <fgColor rgb="FF1F4E78"/>
      </patternFill>
    </fill>
    <fill>
      <patternFill patternType="solid">
        <fgColor rgb="FFFFF2CC"/>
      </patternFill>
    </fill>
    <fill>
      <patternFill patternType="solid">
        <fgColor rgb="FFEAF4FB"/>
      </patternFill>
    </fill>
    <fill>
      <patternFill patternType="solid">
        <fgColor rgb="FFFFFFFF"/>
      </patternFill>
    </fill>
    <fill>
      <patternFill patternType="solid">
        <fgColor rgb="FFE2F0D9"/>
      </patternFill>
    </fill>
    <fill>
      <patternFill patternType="solid">
        <fgColor rgb="FF595959"/>
      </patternFill>
    </fill>
    <fill>
      <patternFill patternType="solid">
        <fgColor rgb="FFEAF4FB"/>
      </patternFill>
    </fill>
    <fill>
      <patternFill patternType="solid">
        <fgColor rgb="FF1F4E78"/>
      </patternFill>
    </fill>
    <fill>
      <patternFill patternType="solid">
        <fgColor rgb="FFFFF2CC"/>
      </patternFill>
    </fill>
    <fill>
      <patternFill patternType="solid">
        <fgColor rgb="FFEAF4FB"/>
      </patternFill>
    </fill>
    <fill>
      <patternFill patternType="solid">
        <fgColor rgb="FFFFFFFF"/>
      </patternFill>
    </fill>
    <fill>
      <patternFill patternType="solid">
        <fgColor rgb="FFE2F0D9"/>
      </patternFill>
    </fill>
    <fill>
      <patternFill patternType="solid">
        <fgColor rgb="FF595959"/>
      </patternFill>
    </fill>
    <fill>
      <patternFill patternType="solid">
        <fgColor rgb="FFFFFF00"/>
        <bgColor indexed="64"/>
      </patternFill>
    </fill>
    <fill>
      <patternFill patternType="solid">
        <fgColor them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rgb="FF1F4E78"/>
      </top>
      <bottom style="medium">
        <color rgb="FF1F4E78"/>
      </bottom>
      <diagonal/>
    </border>
    <border>
      <left/>
      <right/>
      <top/>
      <bottom style="thin">
        <color rgb="FFD9D9D9"/>
      </bottom>
      <diagonal/>
    </border>
    <border>
      <left/>
      <right/>
      <top/>
      <bottom style="thin">
        <color rgb="FFD9D9D9"/>
      </bottom>
      <diagonal/>
    </border>
    <border>
      <left/>
      <right/>
      <top/>
      <bottom style="thin">
        <color rgb="FFD9D9D9"/>
      </bottom>
      <diagonal/>
    </border>
    <border>
      <left/>
      <right/>
      <top/>
      <bottom style="thin">
        <color rgb="FFD9D9D9"/>
      </bottom>
      <diagonal/>
    </border>
    <border>
      <left/>
      <right/>
      <top/>
      <bottom style="thin">
        <color rgb="FFD9D9D9"/>
      </bottom>
      <diagonal/>
    </border>
    <border>
      <left/>
      <right/>
      <top/>
      <bottom style="thin">
        <color rgb="FFD9D9D9"/>
      </bottom>
      <diagonal/>
    </border>
    <border>
      <left/>
      <right/>
      <top/>
      <bottom style="thin">
        <color rgb="FFD9D9D9"/>
      </bottom>
      <diagonal/>
    </border>
    <border>
      <left/>
      <right/>
      <top style="thin">
        <color rgb="FFD9D9D9"/>
      </top>
      <bottom style="thin">
        <color rgb="FFD9D9D9"/>
      </bottom>
      <diagonal/>
    </border>
  </borders>
  <cellStyleXfs count="3">
    <xf numFmtId="0" fontId="0" fillId="0" borderId="0"/>
    <xf numFmtId="43" fontId="1" fillId="0" borderId="0"/>
    <xf numFmtId="9" fontId="1" fillId="0" borderId="0"/>
  </cellStyleXfs>
  <cellXfs count="188">
    <xf numFmtId="0" fontId="0" fillId="0" borderId="0" xfId="0"/>
    <xf numFmtId="0" fontId="4" fillId="0" borderId="0" xfId="0" applyFont="1"/>
    <xf numFmtId="0" fontId="3" fillId="0" borderId="0" xfId="0" applyFont="1"/>
    <xf numFmtId="43" fontId="0" fillId="0" borderId="0" xfId="1" applyFont="1"/>
    <xf numFmtId="164" fontId="0" fillId="0" borderId="0" xfId="1" applyNumberFormat="1" applyFont="1"/>
    <xf numFmtId="165" fontId="0" fillId="0" borderId="0" xfId="1" applyNumberFormat="1" applyFont="1"/>
    <xf numFmtId="166" fontId="0" fillId="0" borderId="0" xfId="1" applyNumberFormat="1" applyFont="1"/>
    <xf numFmtId="0" fontId="7" fillId="0" borderId="0" xfId="0" applyFont="1"/>
    <xf numFmtId="165" fontId="7" fillId="0" borderId="0" xfId="1" applyNumberFormat="1" applyFont="1"/>
    <xf numFmtId="0" fontId="5" fillId="0" borderId="1" xfId="0" applyFont="1" applyBorder="1" applyAlignment="1">
      <alignment horizontal="justify" vertical="center" wrapText="1"/>
    </xf>
    <xf numFmtId="164" fontId="5" fillId="0" borderId="1" xfId="0" applyNumberFormat="1" applyFont="1" applyBorder="1" applyAlignment="1">
      <alignment horizontal="justify" vertical="center" wrapText="1"/>
    </xf>
    <xf numFmtId="0" fontId="6" fillId="0" borderId="1" xfId="0" applyFont="1" applyBorder="1" applyAlignment="1">
      <alignment horizontal="justify" vertical="center" wrapText="1"/>
    </xf>
    <xf numFmtId="0" fontId="0" fillId="0" borderId="0" xfId="0" applyAlignment="1">
      <alignment horizontal="left" vertical="center" indent="1"/>
    </xf>
    <xf numFmtId="0" fontId="3" fillId="0" borderId="0" xfId="0" applyFont="1" applyAlignment="1">
      <alignment horizontal="center"/>
    </xf>
    <xf numFmtId="0" fontId="3" fillId="0" borderId="0" xfId="0" applyFont="1" applyAlignment="1">
      <alignment horizontal="left"/>
    </xf>
    <xf numFmtId="0" fontId="2" fillId="0" borderId="0" xfId="0" applyFont="1"/>
    <xf numFmtId="0" fontId="0" fillId="0" borderId="0" xfId="0" applyAlignment="1">
      <alignment horizontal="left"/>
    </xf>
    <xf numFmtId="164" fontId="0" fillId="0" borderId="0" xfId="1" applyNumberFormat="1" applyFont="1" applyAlignment="1">
      <alignment horizontal="center"/>
    </xf>
    <xf numFmtId="164" fontId="0" fillId="0" borderId="0" xfId="0" applyNumberFormat="1"/>
    <xf numFmtId="0" fontId="0" fillId="2" borderId="0" xfId="0" applyFill="1"/>
    <xf numFmtId="167" fontId="0" fillId="0" borderId="0" xfId="0" applyNumberFormat="1"/>
    <xf numFmtId="0" fontId="3" fillId="0" borderId="0" xfId="0" applyFont="1" applyAlignment="1">
      <alignment horizontal="center" vertical="center" wrapText="1"/>
    </xf>
    <xf numFmtId="168" fontId="0" fillId="0" borderId="0" xfId="0" applyNumberFormat="1"/>
    <xf numFmtId="168" fontId="0" fillId="0" borderId="0" xfId="2" applyNumberFormat="1" applyFont="1"/>
    <xf numFmtId="0" fontId="0" fillId="0" borderId="0" xfId="0" applyAlignment="1">
      <alignment vertical="top" wrapText="1"/>
    </xf>
    <xf numFmtId="0" fontId="10" fillId="3" borderId="2" xfId="0" applyFont="1" applyFill="1" applyBorder="1" applyAlignment="1">
      <alignment horizontal="center" vertical="center" wrapText="1"/>
    </xf>
    <xf numFmtId="0" fontId="0" fillId="0" borderId="3" xfId="0" applyBorder="1" applyAlignment="1">
      <alignment vertical="top" wrapText="1"/>
    </xf>
    <xf numFmtId="0" fontId="11" fillId="5" borderId="3" xfId="0" applyFont="1" applyFill="1" applyBorder="1" applyAlignment="1">
      <alignment vertical="top" wrapText="1"/>
    </xf>
    <xf numFmtId="0" fontId="0" fillId="6" borderId="3" xfId="0" applyFill="1" applyBorder="1" applyAlignment="1">
      <alignment vertical="top" wrapText="1"/>
    </xf>
    <xf numFmtId="0" fontId="10" fillId="8" borderId="0" xfId="0" applyFont="1" applyFill="1" applyAlignment="1">
      <alignment horizontal="center" vertical="top" wrapText="1"/>
    </xf>
    <xf numFmtId="0" fontId="0" fillId="7" borderId="3" xfId="0" applyFill="1" applyBorder="1" applyAlignment="1">
      <alignment vertical="top" wrapText="1"/>
    </xf>
    <xf numFmtId="0" fontId="14" fillId="0" borderId="0" xfId="0" applyFont="1" applyAlignment="1">
      <alignment horizontal="left" vertical="top" wrapText="1"/>
    </xf>
    <xf numFmtId="0" fontId="13" fillId="8" borderId="3" xfId="0" applyFont="1" applyFill="1" applyBorder="1" applyAlignment="1">
      <alignment horizontal="center" vertical="top" wrapText="1"/>
    </xf>
    <xf numFmtId="0" fontId="16" fillId="0" borderId="3" xfId="0" applyFont="1" applyBorder="1" applyAlignment="1">
      <alignment horizontal="left" vertical="top" wrapText="1"/>
    </xf>
    <xf numFmtId="0" fontId="14" fillId="0" borderId="3" xfId="0" applyFont="1" applyBorder="1" applyAlignment="1">
      <alignment horizontal="left" vertical="top" wrapText="1"/>
    </xf>
    <xf numFmtId="0" fontId="10" fillId="3" borderId="0" xfId="0" applyFont="1" applyFill="1" applyAlignment="1">
      <alignment vertical="top" wrapText="1"/>
    </xf>
    <xf numFmtId="0" fontId="0" fillId="0" borderId="5" xfId="0" applyBorder="1" applyAlignment="1">
      <alignment vertical="top" wrapText="1"/>
    </xf>
    <xf numFmtId="0" fontId="11" fillId="5" borderId="5" xfId="0" applyFont="1" applyFill="1" applyBorder="1" applyAlignment="1">
      <alignment vertical="top" wrapText="1"/>
    </xf>
    <xf numFmtId="0" fontId="0" fillId="0" borderId="4" xfId="0" applyBorder="1"/>
    <xf numFmtId="0" fontId="19" fillId="10" borderId="0" xfId="0" applyFont="1" applyFill="1"/>
    <xf numFmtId="0" fontId="0" fillId="0" borderId="6" xfId="0" applyBorder="1" applyAlignment="1">
      <alignment horizontal="center"/>
    </xf>
    <xf numFmtId="0" fontId="0" fillId="0" borderId="6" xfId="0" applyBorder="1" applyAlignment="1">
      <alignment vertical="top" wrapText="1"/>
    </xf>
    <xf numFmtId="0" fontId="0" fillId="0" borderId="6" xfId="0" applyBorder="1" applyAlignment="1">
      <alignment wrapText="1"/>
    </xf>
    <xf numFmtId="0" fontId="20" fillId="12" borderId="6" xfId="0" applyFont="1" applyFill="1" applyBorder="1" applyAlignment="1">
      <alignment vertical="top" wrapText="1"/>
    </xf>
    <xf numFmtId="0" fontId="19" fillId="15" borderId="0" xfId="0" applyFont="1" applyFill="1" applyAlignment="1">
      <alignment wrapText="1"/>
    </xf>
    <xf numFmtId="10" fontId="0" fillId="0" borderId="6" xfId="0" applyNumberFormat="1" applyBorder="1" applyAlignment="1">
      <alignment wrapText="1"/>
    </xf>
    <xf numFmtId="0" fontId="20" fillId="0" borderId="0" xfId="0" applyFont="1"/>
    <xf numFmtId="0" fontId="19" fillId="15" borderId="0" xfId="0" applyFont="1" applyFill="1"/>
    <xf numFmtId="0" fontId="0" fillId="0" borderId="6" xfId="0" applyBorder="1" applyAlignment="1">
      <alignment vertical="top"/>
    </xf>
    <xf numFmtId="0" fontId="0" fillId="0" borderId="6" xfId="0" applyBorder="1" applyAlignment="1">
      <alignment vertical="center" wrapText="1"/>
    </xf>
    <xf numFmtId="0" fontId="0" fillId="0" borderId="6" xfId="0" applyBorder="1" applyAlignment="1">
      <alignment horizontal="center" vertical="center"/>
    </xf>
    <xf numFmtId="0" fontId="19" fillId="10" borderId="0" xfId="0" applyFont="1" applyFill="1" applyAlignment="1">
      <alignment horizontal="center" vertical="center" wrapText="1"/>
    </xf>
    <xf numFmtId="0" fontId="20" fillId="12" borderId="0" xfId="0" applyFont="1" applyFill="1" applyAlignment="1">
      <alignment vertical="center" wrapText="1"/>
    </xf>
    <xf numFmtId="0" fontId="0" fillId="13" borderId="6" xfId="0" applyFill="1" applyBorder="1" applyAlignment="1">
      <alignment vertical="center" wrapText="1"/>
    </xf>
    <xf numFmtId="0" fontId="0" fillId="14" borderId="6" xfId="0" applyFill="1" applyBorder="1" applyAlignment="1">
      <alignment vertical="center" wrapText="1"/>
    </xf>
    <xf numFmtId="0" fontId="9" fillId="0" borderId="0" xfId="0" applyFont="1" applyAlignment="1">
      <alignment vertical="center" wrapText="1"/>
    </xf>
    <xf numFmtId="0" fontId="0" fillId="11" borderId="6" xfId="0" applyFill="1" applyBorder="1" applyAlignment="1">
      <alignment horizontal="center" vertical="top" wrapText="1"/>
    </xf>
    <xf numFmtId="0" fontId="0" fillId="11" borderId="6" xfId="0" applyFill="1" applyBorder="1" applyAlignment="1">
      <alignment horizontal="center" vertical="center" wrapText="1"/>
    </xf>
    <xf numFmtId="0" fontId="0" fillId="0" borderId="6" xfId="0" applyBorder="1" applyAlignment="1">
      <alignment horizontal="left" vertical="center"/>
    </xf>
    <xf numFmtId="0" fontId="0" fillId="0" borderId="6" xfId="0" applyBorder="1" applyAlignment="1">
      <alignment vertical="center"/>
    </xf>
    <xf numFmtId="0" fontId="19" fillId="0" borderId="0" xfId="0" applyFont="1"/>
    <xf numFmtId="0" fontId="19" fillId="15" borderId="0" xfId="0" applyFont="1" applyFill="1" applyAlignment="1">
      <alignment horizontal="center"/>
    </xf>
    <xf numFmtId="4" fontId="0" fillId="11" borderId="6" xfId="0" applyNumberFormat="1" applyFill="1" applyBorder="1" applyAlignment="1">
      <alignment horizontal="center" vertical="top" wrapText="1"/>
    </xf>
    <xf numFmtId="10" fontId="0" fillId="11" borderId="6" xfId="0" applyNumberFormat="1" applyFill="1" applyBorder="1" applyAlignment="1">
      <alignment horizontal="center" vertical="top" wrapText="1"/>
    </xf>
    <xf numFmtId="10" fontId="0" fillId="13" borderId="6" xfId="0" applyNumberFormat="1" applyFill="1" applyBorder="1" applyAlignment="1">
      <alignment horizontal="center" vertical="center" wrapText="1"/>
    </xf>
    <xf numFmtId="10" fontId="0" fillId="11" borderId="6" xfId="0" applyNumberFormat="1" applyFill="1" applyBorder="1" applyAlignment="1">
      <alignment horizontal="center" vertical="center" wrapText="1"/>
    </xf>
    <xf numFmtId="4" fontId="0" fillId="13" borderId="6" xfId="0" applyNumberFormat="1" applyFill="1" applyBorder="1" applyAlignment="1">
      <alignment horizontal="center" vertical="top" wrapText="1"/>
    </xf>
    <xf numFmtId="4" fontId="0" fillId="13" borderId="6" xfId="0" applyNumberFormat="1" applyFill="1" applyBorder="1" applyAlignment="1">
      <alignment horizontal="center" vertical="center" wrapText="1"/>
    </xf>
    <xf numFmtId="4" fontId="0" fillId="13" borderId="6" xfId="0" applyNumberFormat="1" applyFill="1" applyBorder="1" applyAlignment="1">
      <alignment horizontal="center" vertical="center"/>
    </xf>
    <xf numFmtId="0" fontId="24" fillId="16" borderId="0" xfId="0" applyFont="1" applyFill="1" applyAlignment="1">
      <alignment horizontal="center" wrapText="1"/>
    </xf>
    <xf numFmtId="0" fontId="24" fillId="16" borderId="0" xfId="0" applyFont="1" applyFill="1"/>
    <xf numFmtId="0" fontId="0" fillId="0" borderId="7" xfId="0" applyBorder="1" applyAlignment="1">
      <alignment vertical="top" wrapText="1"/>
    </xf>
    <xf numFmtId="0" fontId="0" fillId="19" borderId="7" xfId="0" applyFill="1" applyBorder="1" applyAlignment="1">
      <alignment vertical="top" wrapText="1"/>
    </xf>
    <xf numFmtId="0" fontId="25" fillId="18" borderId="7" xfId="0" applyFont="1" applyFill="1" applyBorder="1" applyAlignment="1">
      <alignment vertical="top" wrapText="1"/>
    </xf>
    <xf numFmtId="0" fontId="24" fillId="21" borderId="0" xfId="0" applyFont="1" applyFill="1" applyAlignment="1">
      <alignment horizontal="center" wrapText="1"/>
    </xf>
    <xf numFmtId="0" fontId="24" fillId="21" borderId="0" xfId="0" applyFont="1" applyFill="1"/>
    <xf numFmtId="0" fontId="0" fillId="0" borderId="7" xfId="0" applyBorder="1" applyAlignment="1">
      <alignment vertical="top"/>
    </xf>
    <xf numFmtId="0" fontId="0" fillId="17" borderId="7" xfId="0" applyFill="1" applyBorder="1" applyAlignment="1">
      <alignment vertical="center" wrapText="1"/>
    </xf>
    <xf numFmtId="4" fontId="0" fillId="17" borderId="7" xfId="0" applyNumberFormat="1" applyFill="1" applyBorder="1" applyAlignment="1">
      <alignment horizontal="center" vertical="center" wrapText="1"/>
    </xf>
    <xf numFmtId="0" fontId="0" fillId="17" borderId="7" xfId="0" applyFill="1" applyBorder="1" applyAlignment="1">
      <alignment horizontal="center" vertical="center" wrapText="1"/>
    </xf>
    <xf numFmtId="10" fontId="0" fillId="17" borderId="7" xfId="0" applyNumberFormat="1" applyFill="1" applyBorder="1" applyAlignment="1">
      <alignment horizontal="center" vertical="center" wrapText="1"/>
    </xf>
    <xf numFmtId="10" fontId="0" fillId="19" borderId="7" xfId="0" applyNumberFormat="1" applyFill="1" applyBorder="1" applyAlignment="1">
      <alignment horizontal="center" vertical="center" wrapText="1"/>
    </xf>
    <xf numFmtId="4" fontId="0" fillId="19" borderId="7" xfId="0" applyNumberFormat="1" applyFill="1" applyBorder="1" applyAlignment="1">
      <alignment horizontal="center" vertical="center" wrapText="1"/>
    </xf>
    <xf numFmtId="0" fontId="25" fillId="18" borderId="7" xfId="0" applyFont="1" applyFill="1" applyBorder="1" applyAlignment="1">
      <alignment vertical="top"/>
    </xf>
    <xf numFmtId="0" fontId="0" fillId="0" borderId="7" xfId="0" applyBorder="1" applyAlignment="1">
      <alignment horizontal="center" vertical="center"/>
    </xf>
    <xf numFmtId="0" fontId="0" fillId="0" borderId="7" xfId="0" applyBorder="1" applyAlignment="1">
      <alignment vertical="center" wrapText="1"/>
    </xf>
    <xf numFmtId="0" fontId="0" fillId="0" borderId="7" xfId="0" applyBorder="1" applyAlignment="1">
      <alignment vertical="center"/>
    </xf>
    <xf numFmtId="0" fontId="25" fillId="18" borderId="7" xfId="0" applyFont="1" applyFill="1" applyBorder="1" applyAlignment="1">
      <alignment vertical="center" wrapText="1"/>
    </xf>
    <xf numFmtId="0" fontId="25" fillId="18" borderId="0" xfId="0" applyFont="1" applyFill="1" applyAlignment="1">
      <alignment vertical="center" wrapText="1"/>
    </xf>
    <xf numFmtId="0" fontId="0" fillId="19" borderId="7" xfId="0" applyFill="1" applyBorder="1" applyAlignment="1">
      <alignment vertical="center" wrapText="1"/>
    </xf>
    <xf numFmtId="0" fontId="0" fillId="0" borderId="0" xfId="0" applyAlignment="1">
      <alignment vertical="center"/>
    </xf>
    <xf numFmtId="0" fontId="0" fillId="20" borderId="7" xfId="0" applyFill="1" applyBorder="1" applyAlignment="1">
      <alignment vertical="center" wrapText="1"/>
    </xf>
    <xf numFmtId="0" fontId="27" fillId="0" borderId="7" xfId="0" applyFont="1" applyBorder="1" applyAlignment="1">
      <alignment vertical="center" wrapText="1"/>
    </xf>
    <xf numFmtId="0" fontId="0" fillId="0" borderId="7" xfId="0" applyBorder="1"/>
    <xf numFmtId="1" fontId="27" fillId="17" borderId="7" xfId="0" applyNumberFormat="1" applyFont="1" applyFill="1" applyBorder="1" applyAlignment="1">
      <alignment vertical="center" wrapText="1"/>
    </xf>
    <xf numFmtId="0" fontId="27" fillId="0" borderId="6" xfId="0" applyFont="1" applyBorder="1" applyAlignment="1">
      <alignment vertical="center" wrapText="1"/>
    </xf>
    <xf numFmtId="0" fontId="0" fillId="0" borderId="0" xfId="0" applyAlignment="1">
      <alignment horizontal="center" vertical="top"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4" borderId="3" xfId="0" applyFill="1" applyBorder="1" applyAlignment="1">
      <alignment vertical="center" wrapText="1"/>
    </xf>
    <xf numFmtId="0" fontId="0" fillId="0" borderId="0" xfId="0" applyAlignment="1">
      <alignment vertical="center" wrapText="1"/>
    </xf>
    <xf numFmtId="0" fontId="11" fillId="5" borderId="3" xfId="0" applyFont="1" applyFill="1" applyBorder="1" applyAlignment="1">
      <alignment vertical="center" wrapText="1"/>
    </xf>
    <xf numFmtId="1" fontId="0" fillId="4" borderId="3" xfId="0" applyNumberFormat="1" applyFill="1" applyBorder="1" applyAlignment="1">
      <alignment vertical="center" wrapText="1"/>
    </xf>
    <xf numFmtId="3" fontId="0" fillId="4" borderId="3" xfId="0" applyNumberFormat="1" applyFill="1" applyBorder="1" applyAlignment="1">
      <alignment vertical="center" wrapText="1"/>
    </xf>
    <xf numFmtId="2" fontId="0" fillId="4" borderId="3" xfId="0" applyNumberFormat="1" applyFill="1" applyBorder="1" applyAlignment="1">
      <alignment vertical="center" wrapText="1"/>
    </xf>
    <xf numFmtId="9" fontId="0" fillId="4" borderId="3" xfId="0" applyNumberFormat="1" applyFill="1"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4" borderId="4" xfId="0" applyFill="1" applyBorder="1" applyAlignment="1">
      <alignment vertical="center" wrapText="1"/>
    </xf>
    <xf numFmtId="0" fontId="0" fillId="0" borderId="7" xfId="0" applyBorder="1" applyAlignment="1">
      <alignment horizontal="center" vertical="center" wrapText="1"/>
    </xf>
    <xf numFmtId="0" fontId="0" fillId="9" borderId="3" xfId="0" applyFill="1" applyBorder="1" applyAlignment="1">
      <alignment horizontal="center" vertical="center" wrapText="1"/>
    </xf>
    <xf numFmtId="0" fontId="0" fillId="0" borderId="3" xfId="0" applyBorder="1" applyAlignment="1">
      <alignment vertical="top"/>
    </xf>
    <xf numFmtId="0" fontId="0" fillId="0" borderId="5" xfId="0" applyBorder="1" applyAlignment="1">
      <alignment vertical="top"/>
    </xf>
    <xf numFmtId="0" fontId="0" fillId="0" borderId="4" xfId="0" applyBorder="1" applyAlignment="1">
      <alignment vertical="center"/>
    </xf>
    <xf numFmtId="0" fontId="28" fillId="22" borderId="8" xfId="0" applyFont="1" applyFill="1" applyBorder="1" applyAlignment="1">
      <alignment vertical="top" wrapText="1"/>
    </xf>
    <xf numFmtId="0" fontId="0" fillId="0" borderId="8" xfId="0" applyBorder="1" applyAlignment="1">
      <alignment vertical="top" wrapText="1"/>
    </xf>
    <xf numFmtId="0" fontId="0" fillId="0" borderId="8" xfId="0" applyBorder="1" applyAlignment="1">
      <alignment vertical="top"/>
    </xf>
    <xf numFmtId="0" fontId="0" fillId="7" borderId="3" xfId="0" applyFill="1" applyBorder="1" applyAlignment="1">
      <alignment vertical="center" wrapText="1"/>
    </xf>
    <xf numFmtId="0" fontId="0" fillId="6" borderId="3" xfId="0" applyFill="1" applyBorder="1" applyAlignment="1">
      <alignment vertical="center" wrapText="1"/>
    </xf>
    <xf numFmtId="0" fontId="29" fillId="0" borderId="0" xfId="0" applyFont="1"/>
    <xf numFmtId="0" fontId="0" fillId="0" borderId="0" xfId="0" applyAlignment="1">
      <alignment horizontal="left" vertical="top" wrapText="1"/>
    </xf>
    <xf numFmtId="0" fontId="32" fillId="23" borderId="0" xfId="0" applyFont="1" applyFill="1" applyAlignment="1">
      <alignment horizontal="center" vertical="top" wrapText="1"/>
    </xf>
    <xf numFmtId="0" fontId="32" fillId="23" borderId="0" xfId="0" applyFont="1" applyFill="1" applyAlignment="1">
      <alignment horizontal="left" vertical="top" wrapText="1"/>
    </xf>
    <xf numFmtId="0" fontId="0" fillId="0" borderId="9" xfId="0" applyBorder="1" applyAlignment="1">
      <alignment horizontal="center" vertical="top" wrapText="1"/>
    </xf>
    <xf numFmtId="0" fontId="0" fillId="0" borderId="9" xfId="0" applyBorder="1" applyAlignment="1">
      <alignment horizontal="left" vertical="top" wrapText="1"/>
    </xf>
    <xf numFmtId="0" fontId="0" fillId="24" borderId="9" xfId="0" applyFill="1" applyBorder="1" applyAlignment="1">
      <alignment horizontal="left" vertical="top" wrapText="1"/>
    </xf>
    <xf numFmtId="0" fontId="0" fillId="26" borderId="9" xfId="0" applyFill="1" applyBorder="1" applyAlignment="1">
      <alignment horizontal="left" vertical="top" wrapText="1"/>
    </xf>
    <xf numFmtId="4" fontId="0" fillId="24" borderId="9" xfId="0" applyNumberFormat="1" applyFill="1" applyBorder="1" applyAlignment="1">
      <alignment horizontal="left" vertical="top" wrapText="1"/>
    </xf>
    <xf numFmtId="1" fontId="0" fillId="24" borderId="9" xfId="0" applyNumberFormat="1" applyFill="1" applyBorder="1" applyAlignment="1">
      <alignment horizontal="left" vertical="top" wrapText="1"/>
    </xf>
    <xf numFmtId="0" fontId="34" fillId="23" borderId="0" xfId="0" applyFont="1" applyFill="1" applyAlignment="1">
      <alignment horizontal="left" vertical="top" wrapText="1"/>
    </xf>
    <xf numFmtId="0" fontId="33" fillId="25" borderId="9" xfId="0" applyFont="1" applyFill="1" applyBorder="1" applyAlignment="1">
      <alignment horizontal="left" vertical="top" wrapText="1"/>
    </xf>
    <xf numFmtId="4" fontId="0" fillId="26" borderId="9" xfId="0" applyNumberFormat="1" applyFill="1" applyBorder="1" applyAlignment="1">
      <alignment horizontal="left" vertical="top" wrapText="1"/>
    </xf>
    <xf numFmtId="0" fontId="32" fillId="28" borderId="0" xfId="0" applyFont="1" applyFill="1" applyAlignment="1">
      <alignment horizontal="center" vertical="top" wrapText="1"/>
    </xf>
    <xf numFmtId="9" fontId="0" fillId="0" borderId="9" xfId="0" applyNumberFormat="1" applyBorder="1" applyAlignment="1">
      <alignment horizontal="left" vertical="top" wrapText="1"/>
    </xf>
    <xf numFmtId="4" fontId="0" fillId="0" borderId="9" xfId="0" applyNumberFormat="1" applyBorder="1" applyAlignment="1">
      <alignment horizontal="left" vertical="top" wrapText="1"/>
    </xf>
    <xf numFmtId="167" fontId="0" fillId="24" borderId="9" xfId="0" applyNumberFormat="1" applyFill="1" applyBorder="1" applyAlignment="1">
      <alignment horizontal="left" vertical="top" wrapText="1"/>
    </xf>
    <xf numFmtId="9" fontId="0" fillId="24" borderId="9" xfId="0" applyNumberFormat="1" applyFill="1" applyBorder="1" applyAlignment="1">
      <alignment horizontal="left" vertical="top" wrapText="1"/>
    </xf>
    <xf numFmtId="167" fontId="0" fillId="26" borderId="9" xfId="0" applyNumberFormat="1" applyFill="1" applyBorder="1" applyAlignment="1">
      <alignment horizontal="left" vertical="top" wrapText="1"/>
    </xf>
    <xf numFmtId="0" fontId="32" fillId="28" borderId="0" xfId="0" applyFont="1" applyFill="1" applyAlignment="1">
      <alignment horizontal="left" vertical="top" wrapText="1"/>
    </xf>
    <xf numFmtId="10" fontId="0" fillId="24" borderId="9" xfId="0" applyNumberFormat="1" applyFill="1" applyBorder="1" applyAlignment="1">
      <alignment horizontal="left" vertical="top" wrapText="1"/>
    </xf>
    <xf numFmtId="0" fontId="32" fillId="28" borderId="0" xfId="0" applyFont="1" applyFill="1" applyAlignment="1">
      <alignment horizontal="left" vertical="top"/>
    </xf>
    <xf numFmtId="0" fontId="0" fillId="0" borderId="9" xfId="0" applyBorder="1" applyAlignment="1">
      <alignment horizontal="left" vertical="top"/>
    </xf>
    <xf numFmtId="0" fontId="0" fillId="29" borderId="9" xfId="0" applyFill="1" applyBorder="1" applyAlignment="1">
      <alignment horizontal="left" vertical="top" wrapText="1"/>
    </xf>
    <xf numFmtId="0" fontId="0" fillId="26" borderId="9" xfId="0" applyFill="1" applyBorder="1" applyAlignment="1">
      <alignment horizontal="center" vertical="center" wrapText="1"/>
    </xf>
    <xf numFmtId="0" fontId="33" fillId="25" borderId="0" xfId="0" applyFont="1" applyFill="1" applyAlignment="1">
      <alignment horizontal="left" vertical="center" wrapText="1"/>
    </xf>
    <xf numFmtId="0" fontId="0" fillId="27" borderId="9" xfId="0" applyFill="1" applyBorder="1" applyAlignment="1">
      <alignment horizontal="center" vertical="center" wrapText="1"/>
    </xf>
    <xf numFmtId="9" fontId="0" fillId="27" borderId="9" xfId="0" applyNumberFormat="1" applyFill="1" applyBorder="1" applyAlignment="1">
      <alignment horizontal="center" vertical="center" wrapText="1"/>
    </xf>
    <xf numFmtId="0" fontId="11" fillId="25" borderId="9" xfId="0" applyFont="1" applyFill="1" applyBorder="1" applyAlignment="1">
      <alignment horizontal="left" vertical="top" wrapText="1"/>
    </xf>
    <xf numFmtId="0" fontId="0" fillId="30" borderId="3" xfId="0" applyFill="1" applyBorder="1" applyAlignment="1">
      <alignment vertical="center" wrapText="1"/>
    </xf>
    <xf numFmtId="0" fontId="33" fillId="25" borderId="0" xfId="0" applyFont="1" applyFill="1" applyAlignment="1">
      <alignment horizontal="left" vertical="top" wrapText="1"/>
    </xf>
    <xf numFmtId="0" fontId="0" fillId="26" borderId="0" xfId="0" applyFill="1" applyAlignment="1">
      <alignment horizontal="left" vertical="top" wrapText="1"/>
    </xf>
    <xf numFmtId="0" fontId="33" fillId="25" borderId="9" xfId="0" applyFont="1" applyFill="1" applyBorder="1" applyAlignment="1">
      <alignment horizontal="left" vertical="top"/>
    </xf>
    <xf numFmtId="0" fontId="11" fillId="25" borderId="9" xfId="0" applyFont="1" applyFill="1" applyBorder="1" applyAlignment="1">
      <alignment horizontal="left" vertical="top"/>
    </xf>
    <xf numFmtId="0" fontId="0" fillId="31" borderId="9" xfId="0" applyFill="1" applyBorder="1" applyAlignment="1">
      <alignment horizontal="left" vertical="top" wrapText="1"/>
    </xf>
    <xf numFmtId="0" fontId="30" fillId="23" borderId="0" xfId="0" applyFont="1" applyFill="1" applyAlignment="1">
      <alignment horizontal="center" vertical="top"/>
    </xf>
    <xf numFmtId="0" fontId="0" fillId="0" borderId="0" xfId="0"/>
    <xf numFmtId="0" fontId="11" fillId="25" borderId="10" xfId="0" applyFont="1" applyFill="1" applyBorder="1" applyAlignment="1">
      <alignment horizontal="center" vertical="top" wrapText="1"/>
    </xf>
    <xf numFmtId="0" fontId="0" fillId="0" borderId="10" xfId="0" applyBorder="1"/>
    <xf numFmtId="0" fontId="33" fillId="25" borderId="10" xfId="0" applyFont="1" applyFill="1" applyBorder="1" applyAlignment="1">
      <alignment horizontal="center" vertical="top" wrapText="1"/>
    </xf>
    <xf numFmtId="0" fontId="32" fillId="23" borderId="0" xfId="0" applyFont="1" applyFill="1" applyAlignment="1">
      <alignment horizontal="center" vertical="top" wrapText="1"/>
    </xf>
    <xf numFmtId="0" fontId="34" fillId="23" borderId="0" xfId="0" applyFont="1" applyFill="1" applyAlignment="1">
      <alignment horizontal="center" vertical="top" wrapText="1"/>
    </xf>
    <xf numFmtId="0" fontId="35" fillId="23" borderId="0" xfId="0" applyFont="1" applyFill="1" applyAlignment="1">
      <alignment horizontal="center" vertical="top"/>
    </xf>
    <xf numFmtId="0" fontId="11" fillId="25" borderId="9" xfId="0" applyFont="1" applyFill="1" applyBorder="1" applyAlignment="1">
      <alignment horizontal="center" vertical="top" wrapText="1"/>
    </xf>
    <xf numFmtId="0" fontId="0" fillId="0" borderId="9" xfId="0" applyBorder="1"/>
    <xf numFmtId="0" fontId="31" fillId="0" borderId="0" xfId="0" applyFont="1" applyAlignment="1">
      <alignment horizontal="center" vertical="top" wrapText="1"/>
    </xf>
    <xf numFmtId="0" fontId="0" fillId="0" borderId="0" xfId="0" applyAlignment="1">
      <alignment horizontal="center" vertical="top" wrapText="1"/>
    </xf>
    <xf numFmtId="0" fontId="10" fillId="3" borderId="0" xfId="0" applyFont="1" applyFill="1" applyAlignment="1">
      <alignment horizontal="center" vertical="top" wrapText="1"/>
    </xf>
    <xf numFmtId="0" fontId="9" fillId="0" borderId="0" xfId="0" applyFont="1" applyAlignment="1">
      <alignment horizontal="center" vertical="top" wrapText="1"/>
    </xf>
    <xf numFmtId="0" fontId="10" fillId="3" borderId="0" xfId="0" applyFont="1" applyFill="1" applyAlignment="1">
      <alignment horizontal="center" vertical="center" wrapText="1"/>
    </xf>
    <xf numFmtId="0" fontId="8" fillId="3" borderId="0" xfId="0" applyFont="1" applyFill="1" applyAlignment="1">
      <alignment horizontal="center" vertical="center" wrapText="1"/>
    </xf>
    <xf numFmtId="0" fontId="0" fillId="0" borderId="0" xfId="0" applyAlignment="1">
      <alignment vertical="top" wrapText="1"/>
    </xf>
    <xf numFmtId="0" fontId="12" fillId="3" borderId="0" xfId="0" applyFont="1" applyFill="1" applyAlignment="1">
      <alignment horizontal="center" vertical="top" wrapText="1"/>
    </xf>
    <xf numFmtId="0" fontId="10" fillId="8" borderId="0" xfId="0" applyFont="1" applyFill="1" applyAlignment="1">
      <alignment horizontal="center" vertical="top" wrapText="1"/>
    </xf>
    <xf numFmtId="0" fontId="24" fillId="16" borderId="0" xfId="0" applyFont="1" applyFill="1" applyAlignment="1">
      <alignment horizontal="center"/>
    </xf>
    <xf numFmtId="0" fontId="23" fillId="0" borderId="0" xfId="0" applyFont="1" applyAlignment="1">
      <alignment horizontal="center" vertical="top" wrapText="1"/>
    </xf>
    <xf numFmtId="0" fontId="10" fillId="16" borderId="0" xfId="0" applyFont="1" applyFill="1" applyAlignment="1">
      <alignment horizontal="center"/>
    </xf>
    <xf numFmtId="0" fontId="22" fillId="16" borderId="0" xfId="0" applyFont="1" applyFill="1" applyAlignment="1">
      <alignment horizontal="center"/>
    </xf>
    <xf numFmtId="0" fontId="26" fillId="16" borderId="0" xfId="0" applyFont="1" applyFill="1" applyAlignment="1">
      <alignment horizontal="center"/>
    </xf>
    <xf numFmtId="0" fontId="14" fillId="5" borderId="9" xfId="0" applyFont="1" applyFill="1" applyBorder="1" applyAlignment="1">
      <alignment horizontal="left" vertical="top" wrapText="1"/>
    </xf>
    <xf numFmtId="0" fontId="15" fillId="0" borderId="0" xfId="0" applyFont="1" applyAlignment="1">
      <alignment horizontal="left" vertical="top" wrapText="1"/>
    </xf>
    <xf numFmtId="0" fontId="13" fillId="3" borderId="0" xfId="0" applyFont="1" applyFill="1" applyAlignment="1">
      <alignment horizontal="left" vertical="top" wrapText="1"/>
    </xf>
    <xf numFmtId="0" fontId="14" fillId="4" borderId="9" xfId="0" applyFont="1" applyFill="1" applyBorder="1" applyAlignment="1">
      <alignment horizontal="left" vertical="top" wrapText="1"/>
    </xf>
    <xf numFmtId="0" fontId="17" fillId="3" borderId="0" xfId="0" applyFont="1" applyFill="1" applyAlignment="1">
      <alignment horizontal="center" vertical="top" wrapText="1"/>
    </xf>
    <xf numFmtId="0" fontId="19" fillId="10" borderId="0" xfId="0" applyFont="1" applyFill="1" applyAlignment="1">
      <alignment horizontal="center" vertical="center"/>
    </xf>
    <xf numFmtId="0" fontId="9" fillId="0" borderId="0" xfId="0" applyFont="1" applyAlignment="1">
      <alignment horizontal="left" vertical="center" wrapText="1"/>
    </xf>
    <xf numFmtId="0" fontId="19" fillId="10" borderId="0" xfId="0" applyFont="1" applyFill="1" applyAlignment="1">
      <alignment horizontal="center"/>
    </xf>
    <xf numFmtId="0" fontId="18" fillId="10" borderId="0" xfId="0" applyFont="1" applyFill="1" applyAlignment="1">
      <alignment horizontal="center"/>
    </xf>
    <xf numFmtId="0" fontId="21" fillId="10" borderId="0" xfId="0" applyFont="1" applyFill="1" applyAlignment="1">
      <alignment horizontal="center"/>
    </xf>
  </cellXfs>
  <cellStyles count="3">
    <cellStyle name="Comma" xfId="1" builtinId="3"/>
    <cellStyle name="Normal" xfId="0" builtinId="0"/>
    <cellStyle name="Percent" xfId="2" builtinId="5"/>
  </cellStyles>
  <dxfs count="6">
    <dxf>
      <fill>
        <patternFill patternType="solid">
          <fgColor rgb="FFFCE4D6"/>
        </patternFill>
      </fill>
    </dxf>
    <dxf>
      <fill>
        <patternFill patternType="solid">
          <fgColor rgb="FFFFF2CC"/>
        </patternFill>
      </fill>
    </dxf>
    <dxf>
      <fill>
        <patternFill patternType="solid">
          <fgColor rgb="FFE2F0D9"/>
        </patternFill>
      </fill>
    </dxf>
    <dxf>
      <fill>
        <patternFill patternType="solid">
          <fgColor rgb="FFF4CCCC"/>
        </patternFill>
      </fill>
    </dxf>
    <dxf>
      <fill>
        <patternFill patternType="solid">
          <fgColor rgb="FFFFF2CC"/>
        </patternFill>
      </fill>
    </dxf>
    <dxf>
      <fill>
        <patternFill patternType="solid">
          <f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workbookViewId="0">
      <selection activeCell="A22" sqref="A22"/>
    </sheetView>
  </sheetViews>
  <sheetFormatPr defaultRowHeight="15" x14ac:dyDescent="0.25"/>
  <cols>
    <col min="1" max="1" width="60" bestFit="1" customWidth="1"/>
    <col min="2" max="2" width="10.85546875" bestFit="1" customWidth="1"/>
    <col min="3" max="3" width="9.85546875" bestFit="1" customWidth="1"/>
    <col min="4" max="4" width="13.5703125" customWidth="1"/>
  </cols>
  <sheetData>
    <row r="1" spans="1:4" x14ac:dyDescent="0.25">
      <c r="A1" s="1" t="s">
        <v>240</v>
      </c>
    </row>
    <row r="3" spans="1:4" x14ac:dyDescent="0.25">
      <c r="A3" t="s">
        <v>241</v>
      </c>
    </row>
    <row r="4" spans="1:4" x14ac:dyDescent="0.25">
      <c r="A4" t="s">
        <v>242</v>
      </c>
      <c r="B4" s="4"/>
      <c r="C4" s="4"/>
    </row>
    <row r="5" spans="1:4" x14ac:dyDescent="0.25">
      <c r="A5" s="2" t="s">
        <v>243</v>
      </c>
      <c r="B5" s="4"/>
      <c r="C5" s="4"/>
    </row>
    <row r="6" spans="1:4" x14ac:dyDescent="0.25">
      <c r="A6" t="s">
        <v>244</v>
      </c>
      <c r="B6" s="5">
        <v>2.6949999999999998</v>
      </c>
      <c r="C6" s="4"/>
    </row>
    <row r="7" spans="1:4" x14ac:dyDescent="0.25">
      <c r="A7" t="s">
        <v>245</v>
      </c>
      <c r="B7" s="4">
        <v>100000</v>
      </c>
      <c r="C7" s="4"/>
    </row>
    <row r="8" spans="1:4" x14ac:dyDescent="0.25">
      <c r="A8" t="s">
        <v>246</v>
      </c>
      <c r="B8" s="4"/>
      <c r="C8" s="4"/>
    </row>
    <row r="9" spans="1:4" x14ac:dyDescent="0.25">
      <c r="A9" t="s">
        <v>247</v>
      </c>
      <c r="B9" s="4"/>
      <c r="C9" s="4"/>
    </row>
    <row r="10" spans="1:4" x14ac:dyDescent="0.25">
      <c r="A10" t="s">
        <v>248</v>
      </c>
      <c r="B10" s="3">
        <v>2.7170999999999998</v>
      </c>
      <c r="C10" s="4"/>
    </row>
    <row r="11" spans="1:4" x14ac:dyDescent="0.25">
      <c r="A11" s="7" t="s">
        <v>249</v>
      </c>
      <c r="B11" s="8">
        <f>(B10-B6)</f>
        <v>2.2100000000000009E-2</v>
      </c>
      <c r="C11" s="4">
        <f>B11*B7</f>
        <v>2210.0000000000009</v>
      </c>
    </row>
    <row r="12" spans="1:4" x14ac:dyDescent="0.25">
      <c r="A12" t="s">
        <v>250</v>
      </c>
      <c r="B12" s="4"/>
      <c r="C12" s="4"/>
    </row>
    <row r="13" spans="1:4" ht="28.5" customHeight="1" x14ac:dyDescent="0.25">
      <c r="B13" s="11" t="s">
        <v>251</v>
      </c>
      <c r="C13" s="11" t="s">
        <v>252</v>
      </c>
      <c r="D13" s="11" t="s">
        <v>253</v>
      </c>
    </row>
    <row r="14" spans="1:4" ht="28.5" customHeight="1" x14ac:dyDescent="0.25">
      <c r="B14" s="9" t="s">
        <v>254</v>
      </c>
      <c r="C14" s="9">
        <v>3</v>
      </c>
      <c r="D14" s="10">
        <v>300000</v>
      </c>
    </row>
    <row r="15" spans="1:4" ht="30" x14ac:dyDescent="0.25">
      <c r="B15" s="9" t="s">
        <v>255</v>
      </c>
      <c r="C15" s="9">
        <v>2.7170999999999998</v>
      </c>
      <c r="D15" s="10">
        <f>C15*B7</f>
        <v>271710</v>
      </c>
    </row>
    <row r="16" spans="1:4" x14ac:dyDescent="0.25">
      <c r="B16" s="4" t="s">
        <v>256</v>
      </c>
      <c r="C16" s="4">
        <f>D14-D15-C11</f>
        <v>26080</v>
      </c>
    </row>
    <row r="17" spans="2:3" x14ac:dyDescent="0.25">
      <c r="B17" s="4" t="s">
        <v>257</v>
      </c>
      <c r="C17" s="6">
        <f>(D15+C11)/B7</f>
        <v>2.7391999999999999</v>
      </c>
    </row>
    <row r="18" spans="2:3" x14ac:dyDescent="0.25">
      <c r="B18" s="4"/>
      <c r="C18" s="4"/>
    </row>
    <row r="19" spans="2:3" x14ac:dyDescent="0.25">
      <c r="B19" s="4"/>
      <c r="C19" s="4"/>
    </row>
    <row r="22" spans="2:3" x14ac:dyDescent="0.25">
      <c r="B22" s="4">
        <f>25*250</f>
        <v>6250</v>
      </c>
      <c r="C22" s="4">
        <f>B22*3.1</f>
        <v>19375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topLeftCell="A17" workbookViewId="0">
      <selection activeCell="A32" sqref="A32"/>
    </sheetView>
  </sheetViews>
  <sheetFormatPr defaultRowHeight="15" x14ac:dyDescent="0.25"/>
  <cols>
    <col min="1" max="1" width="30.85546875" customWidth="1"/>
    <col min="2" max="2" width="11.140625" customWidth="1"/>
    <col min="3" max="3" width="12.42578125" customWidth="1"/>
    <col min="4" max="4" width="9.28515625" customWidth="1"/>
    <col min="5" max="5" width="10.28515625" customWidth="1"/>
    <col min="6" max="6" width="12.42578125" customWidth="1"/>
    <col min="7" max="7" width="12.7109375" customWidth="1"/>
  </cols>
  <sheetData>
    <row r="1" spans="1:10" x14ac:dyDescent="0.25">
      <c r="A1" s="2" t="s">
        <v>258</v>
      </c>
      <c r="B1" s="2" t="s">
        <v>259</v>
      </c>
      <c r="C1" s="2" t="s">
        <v>260</v>
      </c>
    </row>
    <row r="3" spans="1:10" x14ac:dyDescent="0.25">
      <c r="A3" s="2" t="s">
        <v>261</v>
      </c>
    </row>
    <row r="4" spans="1:10" x14ac:dyDescent="0.25">
      <c r="A4" t="s">
        <v>262</v>
      </c>
    </row>
    <row r="5" spans="1:10" x14ac:dyDescent="0.25">
      <c r="A5" t="s">
        <v>263</v>
      </c>
    </row>
    <row r="6" spans="1:10" x14ac:dyDescent="0.25">
      <c r="A6" t="s">
        <v>264</v>
      </c>
    </row>
    <row r="7" spans="1:10" x14ac:dyDescent="0.25">
      <c r="A7" t="s">
        <v>265</v>
      </c>
    </row>
    <row r="8" spans="1:10" x14ac:dyDescent="0.25">
      <c r="A8" t="s">
        <v>266</v>
      </c>
    </row>
    <row r="10" spans="1:10" x14ac:dyDescent="0.25">
      <c r="A10" s="2" t="s">
        <v>267</v>
      </c>
      <c r="B10" s="13" t="s">
        <v>268</v>
      </c>
      <c r="C10" s="13" t="s">
        <v>269</v>
      </c>
      <c r="D10" s="13" t="s">
        <v>270</v>
      </c>
      <c r="E10" s="14" t="s">
        <v>271</v>
      </c>
      <c r="H10" t="s">
        <v>272</v>
      </c>
      <c r="J10" t="s">
        <v>273</v>
      </c>
    </row>
    <row r="11" spans="1:10" x14ac:dyDescent="0.25">
      <c r="A11" t="s">
        <v>274</v>
      </c>
      <c r="B11" t="s">
        <v>275</v>
      </c>
      <c r="C11" s="17">
        <v>20000</v>
      </c>
      <c r="D11" s="16" t="s">
        <v>276</v>
      </c>
      <c r="E11" s="15">
        <v>30</v>
      </c>
      <c r="F11" s="15" t="s">
        <v>277</v>
      </c>
    </row>
    <row r="12" spans="1:10" x14ac:dyDescent="0.25">
      <c r="A12" t="s">
        <v>278</v>
      </c>
      <c r="B12" t="s">
        <v>275</v>
      </c>
      <c r="C12" s="4">
        <v>50000</v>
      </c>
      <c r="D12" t="s">
        <v>279</v>
      </c>
      <c r="E12">
        <v>60</v>
      </c>
      <c r="F12" t="s">
        <v>280</v>
      </c>
    </row>
    <row r="13" spans="1:10" x14ac:dyDescent="0.25">
      <c r="A13" t="s">
        <v>281</v>
      </c>
      <c r="B13" t="s">
        <v>275</v>
      </c>
      <c r="C13" s="4">
        <v>-40000</v>
      </c>
      <c r="D13" t="s">
        <v>276</v>
      </c>
      <c r="E13">
        <v>40</v>
      </c>
      <c r="F13" t="s">
        <v>280</v>
      </c>
    </row>
    <row r="14" spans="1:10" x14ac:dyDescent="0.25">
      <c r="A14" t="s">
        <v>282</v>
      </c>
      <c r="B14" t="s">
        <v>275</v>
      </c>
      <c r="C14" s="4">
        <v>-200000</v>
      </c>
      <c r="D14" t="s">
        <v>276</v>
      </c>
      <c r="E14" s="15">
        <v>30</v>
      </c>
      <c r="F14" t="s">
        <v>280</v>
      </c>
      <c r="G14" t="s">
        <v>283</v>
      </c>
    </row>
    <row r="15" spans="1:10" x14ac:dyDescent="0.25">
      <c r="A15" t="s">
        <v>284</v>
      </c>
      <c r="B15" t="s">
        <v>275</v>
      </c>
      <c r="C15" s="4">
        <v>60000</v>
      </c>
      <c r="D15" t="s">
        <v>279</v>
      </c>
      <c r="E15" t="s">
        <v>285</v>
      </c>
      <c r="F15" t="s">
        <v>286</v>
      </c>
      <c r="G15" t="s">
        <v>287</v>
      </c>
    </row>
    <row r="16" spans="1:10" x14ac:dyDescent="0.25">
      <c r="C16" s="4"/>
    </row>
    <row r="17" spans="1:10" x14ac:dyDescent="0.25">
      <c r="A17" s="119" t="s">
        <v>288</v>
      </c>
    </row>
    <row r="18" spans="1:10" ht="75" customHeight="1" x14ac:dyDescent="0.25">
      <c r="A18" s="21" t="s">
        <v>289</v>
      </c>
      <c r="B18" s="21" t="s">
        <v>276</v>
      </c>
      <c r="C18" s="21"/>
      <c r="D18" s="21" t="s">
        <v>279</v>
      </c>
      <c r="E18" s="21" t="s">
        <v>290</v>
      </c>
      <c r="F18" s="21" t="s">
        <v>291</v>
      </c>
      <c r="G18" s="21" t="s">
        <v>292</v>
      </c>
      <c r="H18" s="21" t="s">
        <v>293</v>
      </c>
      <c r="I18" s="21" t="s">
        <v>294</v>
      </c>
      <c r="J18" t="s">
        <v>295</v>
      </c>
    </row>
    <row r="19" spans="1:10" x14ac:dyDescent="0.25">
      <c r="A19" t="s">
        <v>296</v>
      </c>
      <c r="F19" s="19">
        <v>2.6629999999999998</v>
      </c>
      <c r="G19" s="19">
        <v>3.08</v>
      </c>
      <c r="H19" s="19">
        <v>2.6629999999999998</v>
      </c>
      <c r="I19" s="19">
        <v>3.08</v>
      </c>
    </row>
    <row r="20" spans="1:10" x14ac:dyDescent="0.25">
      <c r="A20" t="s">
        <v>297</v>
      </c>
      <c r="B20" s="18">
        <f>C11</f>
        <v>20000</v>
      </c>
      <c r="D20" s="18"/>
      <c r="E20" s="22">
        <v>0.03</v>
      </c>
      <c r="F20" s="20">
        <f t="shared" ref="F20:F31" si="0">$F$19*(1+E20)</f>
        <v>2.7428900000000001</v>
      </c>
      <c r="G20" s="20">
        <f t="shared" ref="G20:G31" si="1">$G$19*(1+E20)</f>
        <v>3.1724000000000001</v>
      </c>
      <c r="H20" s="20">
        <v>2.6927125099999998</v>
      </c>
      <c r="I20" s="20">
        <v>3.1352937999999999</v>
      </c>
    </row>
    <row r="21" spans="1:10" x14ac:dyDescent="0.25">
      <c r="A21" t="s">
        <v>298</v>
      </c>
      <c r="B21" s="18">
        <f>C13</f>
        <v>-40000</v>
      </c>
      <c r="C21" s="18"/>
      <c r="D21" s="18">
        <f>C12</f>
        <v>50000</v>
      </c>
      <c r="E21" s="23">
        <f t="shared" ref="E21:E31" si="2">E20*1.05</f>
        <v>3.15E-2</v>
      </c>
      <c r="F21" s="20">
        <f t="shared" si="0"/>
        <v>2.7468845000000002</v>
      </c>
      <c r="G21" s="20">
        <f t="shared" si="1"/>
        <v>3.1770200000000002</v>
      </c>
      <c r="H21" s="20">
        <v>2.70387837</v>
      </c>
      <c r="I21" s="20">
        <v>3.1522602700000002</v>
      </c>
    </row>
    <row r="22" spans="1:10" x14ac:dyDescent="0.25">
      <c r="A22" t="s">
        <v>299</v>
      </c>
      <c r="B22" s="18"/>
      <c r="C22" s="18"/>
      <c r="E22" s="23">
        <f t="shared" si="2"/>
        <v>3.3075E-2</v>
      </c>
      <c r="F22" s="20">
        <f t="shared" si="0"/>
        <v>2.7510787249999997</v>
      </c>
      <c r="G22" s="20">
        <f t="shared" si="1"/>
        <v>3.1818710000000001</v>
      </c>
      <c r="H22" s="20">
        <v>2.7161133400000002</v>
      </c>
      <c r="I22" s="20">
        <v>3.1701242199999999</v>
      </c>
    </row>
    <row r="23" spans="1:10" x14ac:dyDescent="0.25">
      <c r="A23" t="s">
        <v>300</v>
      </c>
      <c r="D23" s="18">
        <f>C15</f>
        <v>60000</v>
      </c>
      <c r="E23" s="23">
        <f t="shared" si="2"/>
        <v>3.4728750000000003E-2</v>
      </c>
      <c r="F23" s="20">
        <f t="shared" si="0"/>
        <v>2.7554826612499999</v>
      </c>
      <c r="G23" s="20">
        <f t="shared" si="1"/>
        <v>3.1869645499999999</v>
      </c>
      <c r="H23" s="20"/>
      <c r="I23" s="20"/>
    </row>
    <row r="24" spans="1:10" x14ac:dyDescent="0.25">
      <c r="A24" t="s">
        <v>301</v>
      </c>
      <c r="E24" s="23">
        <f t="shared" si="2"/>
        <v>3.6465187500000003E-2</v>
      </c>
      <c r="F24" s="20">
        <f t="shared" si="0"/>
        <v>2.7601067943124997</v>
      </c>
      <c r="G24" s="20">
        <f t="shared" si="1"/>
        <v>3.1923127774999998</v>
      </c>
      <c r="H24" s="20"/>
      <c r="I24" s="20"/>
    </row>
    <row r="25" spans="1:10" x14ac:dyDescent="0.25">
      <c r="A25" t="s">
        <v>302</v>
      </c>
      <c r="D25" s="18">
        <f>C15</f>
        <v>60000</v>
      </c>
      <c r="E25" s="23">
        <f t="shared" si="2"/>
        <v>3.8288446875000007E-2</v>
      </c>
      <c r="F25" s="20">
        <f t="shared" si="0"/>
        <v>2.7649621340281247</v>
      </c>
      <c r="G25" s="20">
        <f t="shared" si="1"/>
        <v>3.1979284163749999</v>
      </c>
      <c r="H25" s="20">
        <v>2.7518998200000002</v>
      </c>
      <c r="I25" s="20">
        <v>3.2223364000000001</v>
      </c>
    </row>
    <row r="26" spans="1:10" x14ac:dyDescent="0.25">
      <c r="A26" t="s">
        <v>303</v>
      </c>
      <c r="E26" s="23">
        <f t="shared" si="2"/>
        <v>4.0202869218750006E-2</v>
      </c>
      <c r="F26" s="20">
        <f t="shared" si="0"/>
        <v>2.7700602407295309</v>
      </c>
      <c r="G26" s="20">
        <f t="shared" si="1"/>
        <v>3.2038248371937499</v>
      </c>
      <c r="H26" s="20"/>
      <c r="I26" s="20"/>
    </row>
    <row r="27" spans="1:10" x14ac:dyDescent="0.25">
      <c r="A27" t="s">
        <v>304</v>
      </c>
      <c r="D27" s="18">
        <f>C15</f>
        <v>60000</v>
      </c>
      <c r="E27" s="23">
        <f t="shared" si="2"/>
        <v>4.2213012679687509E-2</v>
      </c>
      <c r="F27" s="20">
        <f t="shared" si="0"/>
        <v>2.775413252766008</v>
      </c>
      <c r="G27" s="20">
        <f t="shared" si="1"/>
        <v>3.210016079053438</v>
      </c>
      <c r="H27" s="20"/>
      <c r="I27" s="20"/>
    </row>
    <row r="28" spans="1:10" x14ac:dyDescent="0.25">
      <c r="A28" t="s">
        <v>305</v>
      </c>
      <c r="E28" s="23">
        <f t="shared" si="2"/>
        <v>4.4323663313671886E-2</v>
      </c>
      <c r="F28" s="20">
        <f t="shared" si="0"/>
        <v>2.7810339154043082</v>
      </c>
      <c r="G28" s="20">
        <f t="shared" si="1"/>
        <v>3.2165168830061095</v>
      </c>
      <c r="H28" s="20">
        <v>2.7905662000000002</v>
      </c>
      <c r="I28" s="20">
        <v>3.2767373499999999</v>
      </c>
    </row>
    <row r="29" spans="1:10" x14ac:dyDescent="0.25">
      <c r="A29" t="s">
        <v>306</v>
      </c>
      <c r="E29" s="23">
        <f t="shared" si="2"/>
        <v>4.6539846479355482E-2</v>
      </c>
      <c r="F29" s="20">
        <f t="shared" si="0"/>
        <v>2.7869356111745232</v>
      </c>
      <c r="G29" s="20">
        <f t="shared" si="1"/>
        <v>3.2233427271564148</v>
      </c>
      <c r="H29" s="20"/>
      <c r="I29" s="20"/>
    </row>
    <row r="30" spans="1:10" x14ac:dyDescent="0.25">
      <c r="A30" t="s">
        <v>307</v>
      </c>
      <c r="E30" s="23">
        <f t="shared" si="2"/>
        <v>4.8866838803323258E-2</v>
      </c>
      <c r="F30" s="20">
        <f t="shared" si="0"/>
        <v>2.7931323917332498</v>
      </c>
      <c r="G30" s="20">
        <f t="shared" si="1"/>
        <v>3.2305098635142357</v>
      </c>
      <c r="H30" s="20"/>
      <c r="I30" s="20"/>
    </row>
    <row r="31" spans="1:10" x14ac:dyDescent="0.25">
      <c r="A31" t="s">
        <v>308</v>
      </c>
      <c r="B31" s="18">
        <f>C14</f>
        <v>-200000</v>
      </c>
      <c r="E31" s="23">
        <f t="shared" si="2"/>
        <v>5.131018074348942E-2</v>
      </c>
      <c r="F31" s="20">
        <f t="shared" si="0"/>
        <v>2.7996390113199121</v>
      </c>
      <c r="G31" s="20">
        <f t="shared" si="1"/>
        <v>3.2380353566899478</v>
      </c>
      <c r="H31" s="20">
        <v>2.8306201600000001</v>
      </c>
      <c r="I31" s="20">
        <v>3.3328980399999999</v>
      </c>
    </row>
    <row r="33" spans="1:2" x14ac:dyDescent="0.25">
      <c r="A33" s="2" t="s">
        <v>309</v>
      </c>
    </row>
    <row r="34" spans="1:2" x14ac:dyDescent="0.25">
      <c r="A34" t="s">
        <v>310</v>
      </c>
    </row>
    <row r="36" spans="1:2" x14ac:dyDescent="0.25">
      <c r="A36" t="s">
        <v>311</v>
      </c>
    </row>
    <row r="37" spans="1:2" x14ac:dyDescent="0.25">
      <c r="A37" t="s">
        <v>312</v>
      </c>
    </row>
    <row r="39" spans="1:2" x14ac:dyDescent="0.25">
      <c r="A39" s="12"/>
    </row>
    <row r="40" spans="1:2" x14ac:dyDescent="0.25">
      <c r="B40" s="4">
        <v>4500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9"/>
  <sheetViews>
    <sheetView showGridLines="0" topLeftCell="A29" zoomScaleNormal="100" workbookViewId="0">
      <selection activeCell="C8" sqref="C8"/>
    </sheetView>
  </sheetViews>
  <sheetFormatPr defaultRowHeight="15" x14ac:dyDescent="0.25"/>
  <cols>
    <col min="1" max="1" width="9.7109375" customWidth="1"/>
    <col min="2" max="2" width="42" customWidth="1"/>
    <col min="3" max="3" width="21.7109375" customWidth="1"/>
    <col min="4" max="4" width="35" customWidth="1"/>
    <col min="5" max="5" width="44.140625" customWidth="1"/>
    <col min="6" max="6" width="4.7109375" customWidth="1"/>
    <col min="7" max="7" width="32" customWidth="1"/>
    <col min="8" max="8" width="33.85546875" customWidth="1"/>
    <col min="9" max="9" width="3" customWidth="1"/>
    <col min="10" max="10" width="35" customWidth="1"/>
    <col min="11" max="11" width="11" customWidth="1"/>
    <col min="12" max="12" width="48" customWidth="1"/>
    <col min="14" max="18" width="28" customWidth="1"/>
  </cols>
  <sheetData>
    <row r="1" spans="1:18" ht="25.9" customHeight="1" x14ac:dyDescent="0.25">
      <c r="A1" s="169" t="s">
        <v>0</v>
      </c>
      <c r="B1" s="155"/>
      <c r="C1" s="155"/>
      <c r="D1" s="155"/>
      <c r="E1" s="155"/>
    </row>
    <row r="2" spans="1:18" ht="30" customHeight="1" x14ac:dyDescent="0.25">
      <c r="A2" s="167" t="s">
        <v>1</v>
      </c>
      <c r="B2" s="155"/>
      <c r="C2" s="155"/>
      <c r="D2" s="155"/>
      <c r="E2" s="155"/>
    </row>
    <row r="3" spans="1:18" ht="14.65" customHeight="1" thickBot="1" x14ac:dyDescent="0.3">
      <c r="A3" s="24"/>
      <c r="B3" s="24"/>
      <c r="C3" s="24"/>
      <c r="D3" s="24"/>
      <c r="E3" s="24"/>
      <c r="F3" s="24"/>
      <c r="G3" s="24"/>
      <c r="H3" s="24"/>
      <c r="I3" s="24"/>
      <c r="J3" s="24"/>
      <c r="K3" s="24"/>
      <c r="L3" s="24"/>
    </row>
    <row r="4" spans="1:18" x14ac:dyDescent="0.25">
      <c r="A4" s="25" t="s">
        <v>2</v>
      </c>
      <c r="B4" s="25" t="s">
        <v>3</v>
      </c>
      <c r="C4" s="25" t="s">
        <v>4</v>
      </c>
      <c r="D4" s="25" t="s">
        <v>5</v>
      </c>
      <c r="E4" s="25" t="s">
        <v>6</v>
      </c>
      <c r="F4" s="24"/>
      <c r="G4" s="166" t="s">
        <v>7</v>
      </c>
      <c r="H4" s="155"/>
      <c r="I4" s="24"/>
      <c r="J4" s="166" t="s">
        <v>8</v>
      </c>
      <c r="K4" s="155"/>
      <c r="L4" s="155"/>
    </row>
    <row r="5" spans="1:18" ht="34.15" customHeight="1" x14ac:dyDescent="0.25">
      <c r="A5" s="97">
        <v>1</v>
      </c>
      <c r="B5" s="98" t="s">
        <v>9</v>
      </c>
      <c r="C5" s="99" t="s">
        <v>10</v>
      </c>
      <c r="D5" s="98" t="s">
        <v>11</v>
      </c>
      <c r="E5" s="98" t="s">
        <v>12</v>
      </c>
      <c r="F5" s="100"/>
      <c r="G5" s="101" t="s">
        <v>13</v>
      </c>
      <c r="H5" s="28" t="str">
        <f>IF($C$33="დიახ","მიწოდების ჯაჭვის დაფინანსება / რევერსიული ფაქტორინგი",IF($C$5="","",IF($C$10="დიახ","ფაქტორინგი / ინვოისი დაფინანსება",IF($C$11="დიახ","ვაჭრობის დაფინანსება / მოკლევადიანი იმპორტის სესხი",IF($C$17="დეპოზიტი / ნაღდი ფულით უზრუნველყოფა","ნაღდი ფულით/დეპოზიტით უზრუნველყოფილი სესხი",IF(AND($C$17="მყარი უზრუნველყოფა არ არის",$C$18="დიახ"),"არაუზრუნველყოფილი SME სესხი",IF(AND($C$5="დიახ",$C$9="დიახ",$C$7="ერთჯერადი"),"მოკლევადიანი ბიზნეს სესხი",IF(AND($C$5="დიახ",$C$7="ერთჯერადი"),"საბრუნავი კაპიტალის ვადიანი სესხი",IF(AND($C$12="დიახ",$C$14&lt;&gt;"",$C$14&lt;=30,$C$15="დიახ"),"ოვერდრაფტი",IF($C$12="დიახ","საკრედიტო ხაზი",IF($C$19="დიახ","სახელმწიფოს მიერ მხარდაჭერილი საბრუნავი კაპიტალის სესხი (EG/RDA/გარანტია)","საჭიროა მრჩეველის განხილვა")))))))))))</f>
        <v>არაუზრუნველყოფილი SME სესხი</v>
      </c>
      <c r="I5" s="24"/>
      <c r="J5" s="29" t="s">
        <v>14</v>
      </c>
      <c r="K5" s="29" t="s">
        <v>15</v>
      </c>
      <c r="L5" s="29" t="s">
        <v>16</v>
      </c>
      <c r="N5" s="35" t="s">
        <v>17</v>
      </c>
      <c r="O5" s="35" t="s">
        <v>18</v>
      </c>
      <c r="P5" s="35" t="s">
        <v>19</v>
      </c>
      <c r="Q5" s="35" t="s">
        <v>20</v>
      </c>
      <c r="R5" s="35" t="s">
        <v>21</v>
      </c>
    </row>
    <row r="6" spans="1:18" ht="43.9" customHeight="1" x14ac:dyDescent="0.25">
      <c r="A6" s="97">
        <v>2</v>
      </c>
      <c r="B6" s="98" t="s">
        <v>22</v>
      </c>
      <c r="C6" s="99" t="s">
        <v>23</v>
      </c>
      <c r="D6" s="98" t="s">
        <v>24</v>
      </c>
      <c r="E6" s="98" t="s">
        <v>25</v>
      </c>
      <c r="F6" s="100"/>
      <c r="G6" s="101" t="s">
        <v>18</v>
      </c>
      <c r="H6" s="30" t="str">
        <f>IF($H$5="","",IFERROR(VLOOKUP($H$5,$N$6:$R$16,2,FALSE),"საჭიროა მრჩეველის შეფასება"))</f>
        <v>უზრუნველყოფილი სესხი ან სახელმწიფო გარანტია, თუ თანხა დიდია</v>
      </c>
      <c r="I6" s="24"/>
      <c r="J6" s="98" t="s">
        <v>26</v>
      </c>
      <c r="K6" s="110">
        <f>IF($C$22="","",IF($C$22="3 წელზე მეტი",0,IF($C$22="1-3 წელი",1,2)))</f>
        <v>1</v>
      </c>
      <c r="L6" s="98" t="s">
        <v>27</v>
      </c>
      <c r="N6" s="26" t="s">
        <v>28</v>
      </c>
      <c r="O6" s="26" t="s">
        <v>29</v>
      </c>
      <c r="P6" s="26" t="s">
        <v>30</v>
      </c>
      <c r="Q6" s="26" t="s">
        <v>31</v>
      </c>
      <c r="R6" s="26" t="s">
        <v>32</v>
      </c>
    </row>
    <row r="7" spans="1:18" ht="78.400000000000006" customHeight="1" x14ac:dyDescent="0.25">
      <c r="A7" s="97">
        <v>3</v>
      </c>
      <c r="B7" s="98" t="s">
        <v>33</v>
      </c>
      <c r="C7" s="99" t="s">
        <v>34</v>
      </c>
      <c r="D7" s="98" t="s">
        <v>35</v>
      </c>
      <c r="E7" s="98" t="s">
        <v>36</v>
      </c>
      <c r="F7" s="100"/>
      <c r="G7" s="101" t="s">
        <v>19</v>
      </c>
      <c r="H7" s="30" t="str">
        <f>IF($H$5="","",IFERROR(VLOOKUP($H$5,$N$6:$R$16,3,FALSE),"შეყვანილი მონაცემები ერთ სტანდარტულ პროდუქტზე არ მიუთითებს."))</f>
        <v>მსესხებელს არ აქვს მყარი უზრუნველყოფა, მაგრამ აქვს ძლიერი, ბანკისთვის ხილული ბრუნვა და შედარებით მცირე თანხა.</v>
      </c>
      <c r="I7" s="24"/>
      <c r="J7" s="98" t="s">
        <v>37</v>
      </c>
      <c r="K7" s="110">
        <f>IF($C$23="","",IF($C$23="აუდიტირებული / მოწესრიგებული საგადასახადო ჩანაწერები",0,IF($C$23="საბაზისო ბუღალტერია",1,2)))</f>
        <v>1</v>
      </c>
      <c r="L7" s="98" t="s">
        <v>38</v>
      </c>
      <c r="N7" s="26" t="s">
        <v>39</v>
      </c>
      <c r="O7" s="26" t="s">
        <v>40</v>
      </c>
      <c r="P7" s="26" t="s">
        <v>41</v>
      </c>
      <c r="Q7" s="26" t="s">
        <v>42</v>
      </c>
      <c r="R7" s="26" t="s">
        <v>43</v>
      </c>
    </row>
    <row r="8" spans="1:18" ht="43.5" customHeight="1" x14ac:dyDescent="0.25">
      <c r="A8" s="97">
        <v>4</v>
      </c>
      <c r="B8" s="98" t="s">
        <v>44</v>
      </c>
      <c r="C8" s="99">
        <v>120</v>
      </c>
      <c r="D8" s="98" t="s">
        <v>45</v>
      </c>
      <c r="E8" s="98" t="s">
        <v>46</v>
      </c>
      <c r="F8" s="100"/>
      <c r="G8" s="101" t="s">
        <v>20</v>
      </c>
      <c r="H8" s="30" t="str">
        <f>IF($H$5="","",IFERROR(VLOOKUP($H$5,$N$6:$R$16,4,FALSE),"საჭიროა ვადის ინდივიდუალური შეფასება."))</f>
        <v>მოკლე ან საშუალო ვადა; შენატანი ბრუნვიდან გადახდადი უნდა დარჩეს.</v>
      </c>
      <c r="I8" s="24"/>
      <c r="J8" s="98" t="s">
        <v>47</v>
      </c>
      <c r="K8" s="110">
        <f>IF($C$24="","",IF($C$24="სტაბილური - ბანკისთვის ხილული",0,IF($C$24="სეზონური",1,2)))</f>
        <v>2</v>
      </c>
      <c r="L8" s="98" t="s">
        <v>48</v>
      </c>
      <c r="N8" s="26" t="s">
        <v>49</v>
      </c>
      <c r="O8" s="26" t="s">
        <v>50</v>
      </c>
      <c r="P8" s="26" t="s">
        <v>51</v>
      </c>
      <c r="Q8" s="26" t="s">
        <v>52</v>
      </c>
      <c r="R8" s="26" t="s">
        <v>53</v>
      </c>
    </row>
    <row r="9" spans="1:18" ht="34.15" customHeight="1" x14ac:dyDescent="0.25">
      <c r="A9" s="97">
        <v>5</v>
      </c>
      <c r="B9" s="98" t="s">
        <v>54</v>
      </c>
      <c r="C9" s="99" t="s">
        <v>55</v>
      </c>
      <c r="D9" s="98" t="s">
        <v>11</v>
      </c>
      <c r="E9" s="98" t="s">
        <v>56</v>
      </c>
      <c r="F9" s="100"/>
      <c r="G9" s="101" t="s">
        <v>57</v>
      </c>
      <c r="H9" s="117" t="str">
        <f>IF($C$16&lt;&gt;"",$C$16,IF($H$5="","",IFERROR(VLOOKUP($H$5,$N$6:$R$16,5,FALSE),"საჭიროა გრაფიკის ინდივიდუალური შეფასება")))</f>
        <v>კვარტალური</v>
      </c>
      <c r="I9" s="24"/>
      <c r="J9" s="98" t="s">
        <v>58</v>
      </c>
      <c r="K9" s="110">
        <f>IF($C$25="","",IF($C$25="სტაბილურად დადებითი",0,IF($C$25="მერყევი",1,2)))</f>
        <v>1</v>
      </c>
      <c r="L9" s="98" t="s">
        <v>59</v>
      </c>
      <c r="N9" s="26" t="s">
        <v>60</v>
      </c>
      <c r="O9" s="26" t="s">
        <v>61</v>
      </c>
      <c r="P9" s="26" t="s">
        <v>62</v>
      </c>
      <c r="Q9" s="26" t="s">
        <v>63</v>
      </c>
      <c r="R9" s="26" t="s">
        <v>64</v>
      </c>
    </row>
    <row r="10" spans="1:18" ht="34.15" customHeight="1" x14ac:dyDescent="0.25">
      <c r="A10" s="97">
        <v>6</v>
      </c>
      <c r="B10" s="98" t="s">
        <v>65</v>
      </c>
      <c r="C10" s="99" t="s">
        <v>55</v>
      </c>
      <c r="D10" s="98" t="s">
        <v>11</v>
      </c>
      <c r="E10" s="98" t="s">
        <v>66</v>
      </c>
      <c r="F10" s="100"/>
      <c r="G10" s="101" t="s">
        <v>67</v>
      </c>
      <c r="H10" s="30" t="str">
        <f>IF($H$5="","",IF($C$19="დიახ","შეამოწმეთ აწარმოე საქართველოში/სოფლის განვითარების სააგენტოს პროგრამების უზრუნველყოფის გარანტიის მიღების უფლება და სესხის პროცენტის სუბსიდირების","")&amp;IF($C$17="არ არის მყარი უზრუნველყოფა","არ არის უზრუნველყოფა: მთვარი საყრდენია ბრუნვა, უზრუნველყოფა, სახელმწიფო გარანტია, არ არაუზრუნველყოფილი მმს სესხი","")&amp;IF($C$17="დებიტორული დავალიანება","არსებობს დებიტორული დავალიანება: შეამოწმეთ ფაქტორინგის პირობები","")&amp;IF($C$17="დეპოზიტი / ნაღდი ფულით უზრუნველყოფა","ნაღდი ფული უზრუნველყოფა ამცირებს რისკს და ღირებულებას მაგრამ ამცირებს ლიკვიდურობას","")&amp;IF($C$20&lt;&gt;"დიახ","ვალუტის შეუსაბამობა: სესხის ვალუტა უმჯობესია იყოს შემოსავლის ვალუტის შესატყვისი ან გამოიყენეთ ჰეჯირება სავალუტო რისკის ზეგავლენის შესამცირებლად",""))</f>
        <v>შეამოწმეთ აწარმოე საქართველოში/სოფლის განვითარების სააგენტოს პროგრამების უზრუნველყოფის გარანტიის მიღების უფლება და სესხის პროცენტის სუბსიდირების</v>
      </c>
      <c r="I10" s="24"/>
      <c r="J10" s="98" t="s">
        <v>68</v>
      </c>
      <c r="K10" s="110">
        <f>IF($C$26="","",IF($C$26&gt;=1.3,0,IF($C$26&gt;=1.1,1,2)))</f>
        <v>0</v>
      </c>
      <c r="L10" s="98" t="s">
        <v>69</v>
      </c>
      <c r="N10" s="26" t="s">
        <v>70</v>
      </c>
      <c r="O10" s="26" t="s">
        <v>71</v>
      </c>
      <c r="P10" s="26" t="s">
        <v>72</v>
      </c>
      <c r="Q10" s="26" t="s">
        <v>73</v>
      </c>
      <c r="R10" s="26" t="s">
        <v>74</v>
      </c>
    </row>
    <row r="11" spans="1:18" ht="34.15" customHeight="1" x14ac:dyDescent="0.25">
      <c r="A11" s="97">
        <v>7</v>
      </c>
      <c r="B11" s="98" t="s">
        <v>75</v>
      </c>
      <c r="C11" s="99" t="s">
        <v>55</v>
      </c>
      <c r="D11" s="98" t="s">
        <v>11</v>
      </c>
      <c r="E11" s="98" t="s">
        <v>76</v>
      </c>
      <c r="F11" s="100"/>
      <c r="G11" s="101" t="s">
        <v>77</v>
      </c>
      <c r="H11" s="117">
        <f>IF(COUNT($K$6:$K$17)=0,"",SUM($K$6:$K$17))</f>
        <v>9</v>
      </c>
      <c r="I11" s="24"/>
      <c r="J11" s="98" t="s">
        <v>78</v>
      </c>
      <c r="K11" s="110">
        <f>IF($C$27="","",IF($C$27&gt;=1.2,0,IF($C$27&gt;=0.8,1,2)))</f>
        <v>2</v>
      </c>
      <c r="L11" s="98" t="s">
        <v>79</v>
      </c>
      <c r="N11" s="26" t="s">
        <v>80</v>
      </c>
      <c r="O11" s="26" t="s">
        <v>81</v>
      </c>
      <c r="P11" s="26" t="s">
        <v>82</v>
      </c>
      <c r="Q11" s="26" t="s">
        <v>83</v>
      </c>
      <c r="R11" s="26" t="s">
        <v>84</v>
      </c>
    </row>
    <row r="12" spans="1:18" ht="34.15" customHeight="1" x14ac:dyDescent="0.25">
      <c r="A12" s="97">
        <v>8</v>
      </c>
      <c r="B12" s="148" t="s">
        <v>85</v>
      </c>
      <c r="C12" s="99" t="s">
        <v>10</v>
      </c>
      <c r="D12" s="98" t="s">
        <v>11</v>
      </c>
      <c r="E12" s="98" t="s">
        <v>86</v>
      </c>
      <c r="F12" s="100"/>
      <c r="G12" s="101" t="s">
        <v>87</v>
      </c>
      <c r="H12" s="118" t="str">
        <f>IF($H$11="","",IF($H$11&lt;=5,"დაბალი რისკი",IF($H$11&lt;=12,"საშუალო რისკი","მაღალი რისკი")))</f>
        <v>საშუალო რისკი</v>
      </c>
      <c r="I12" s="24"/>
      <c r="J12" s="98" t="s">
        <v>88</v>
      </c>
      <c r="K12" s="110">
        <f>IF($C$28="","",IF($C$28="დივერსიფიცირებული",0,IF($C$28="ზომიერი",1,2)))</f>
        <v>1</v>
      </c>
      <c r="L12" s="98" t="s">
        <v>89</v>
      </c>
      <c r="N12" s="26" t="s">
        <v>90</v>
      </c>
      <c r="O12" s="26" t="s">
        <v>91</v>
      </c>
      <c r="P12" s="26" t="s">
        <v>92</v>
      </c>
      <c r="Q12" s="26" t="s">
        <v>93</v>
      </c>
      <c r="R12" s="26" t="s">
        <v>94</v>
      </c>
    </row>
    <row r="13" spans="1:18" ht="60.4" customHeight="1" x14ac:dyDescent="0.25">
      <c r="A13" s="97">
        <v>9</v>
      </c>
      <c r="B13" s="98" t="s">
        <v>95</v>
      </c>
      <c r="C13" s="99" t="s">
        <v>10</v>
      </c>
      <c r="D13" s="98" t="s">
        <v>11</v>
      </c>
      <c r="E13" s="98" t="s">
        <v>96</v>
      </c>
      <c r="F13" s="100"/>
      <c r="G13" s="101" t="s">
        <v>97</v>
      </c>
      <c r="H13" s="30" t="str">
        <f>IF($H$5="მიწოდების ჯაჭვის დაფინანსება / რევერსიული ფაქტორინგი","მიწოდების ჯაჭვის დაფინანსება არის მყიდველის მიერ ინიცირებული და ეფუძნება წინასწარ დამტკიცებულ საკრედიტო შეთანხმებას ფაქტორთან.",IF($H$5="","",IF(AND($C$12="დიახ",OR($C$15="არა",$C$15="ზოგჯერ")),"თუ ოვერდრაფტი მუდმივად გამოიყენება და არ ბრუნდება ნულამდე, ეს არის სტრუქტურული საკრედიტო აცდენა და უნდა გადაიზარდოს ვადიან სესხად ან სათანადო ზომის საკრედიტო ხაზად",IF(AND($C$17="მყარი უზრუნველყოფა არ არის",$C$18="დიახ"),"მსესხებელს არ აქვს უზრუნველყოფა, მაგრამ აქვს ძლიერი ბრუნვა: განიხილოს არაუზრუნველყოფილი მმს სესხი, მაგრამ ველით უფრო მაღალ ფასებს და უფრო მკაცრ შეზღუდვებს.",IF($C$20&lt;&gt;"დიახ","თავიდან აიცილეთ სავალუტო შეუსაბამობა: სესხის ვალუტა უნდა შეესაბამებოდეს შემოსავალის ვალუტას, სადაც ეს შესაძლებელია.","არჩეული პასუხებიდან მნიშვნელოვანი სტრუქტურული გაფრთხილება არ იკვეთება")))))</f>
        <v>მსესხებელს არ აქვს უზრუნველყოფა, მაგრამ აქვს ძლიერი ბრუნვა: განიხილოს არაუზრუნველყოფილი მმს სესხი, მაგრამ ველით უფრო მაღალ ფასებს და უფრო მკაცრ შეზღუდვებს.</v>
      </c>
      <c r="I13" s="24"/>
      <c r="J13" s="98" t="s">
        <v>98</v>
      </c>
      <c r="K13" s="110">
        <f>IF($C$8="","",IF($C$8&lt;=90,0,IF($C$8&lt;=180,1,2)))</f>
        <v>1</v>
      </c>
      <c r="L13" s="98" t="s">
        <v>99</v>
      </c>
      <c r="N13" s="26" t="s">
        <v>100</v>
      </c>
      <c r="O13" s="26" t="s">
        <v>101</v>
      </c>
      <c r="P13" s="26" t="s">
        <v>102</v>
      </c>
      <c r="Q13" s="26" t="s">
        <v>103</v>
      </c>
      <c r="R13" s="26" t="s">
        <v>104</v>
      </c>
    </row>
    <row r="14" spans="1:18" ht="34.15" customHeight="1" x14ac:dyDescent="0.25">
      <c r="A14" s="97">
        <v>10</v>
      </c>
      <c r="B14" s="98" t="s">
        <v>105</v>
      </c>
      <c r="C14" s="102">
        <v>0</v>
      </c>
      <c r="D14" s="98" t="s">
        <v>45</v>
      </c>
      <c r="E14" s="98" t="s">
        <v>106</v>
      </c>
      <c r="F14" s="100"/>
      <c r="G14" s="100"/>
      <c r="H14" s="24"/>
      <c r="I14" s="24"/>
      <c r="J14" s="98" t="s">
        <v>107</v>
      </c>
      <c r="K14" s="110">
        <f>IF($C$29="","",IF($C$29&lt;=60,0,IF($C$29&lt;=120,1,2)))</f>
        <v>0</v>
      </c>
      <c r="L14" s="98" t="s">
        <v>108</v>
      </c>
      <c r="N14" s="26" t="s">
        <v>109</v>
      </c>
      <c r="O14" s="26" t="s">
        <v>110</v>
      </c>
      <c r="P14" s="26" t="s">
        <v>111</v>
      </c>
      <c r="Q14" s="26" t="s">
        <v>112</v>
      </c>
      <c r="R14" s="26" t="s">
        <v>113</v>
      </c>
    </row>
    <row r="15" spans="1:18" ht="34.15" customHeight="1" x14ac:dyDescent="0.25">
      <c r="A15" s="97">
        <v>11</v>
      </c>
      <c r="B15" s="98" t="s">
        <v>114</v>
      </c>
      <c r="C15" s="99" t="s">
        <v>10</v>
      </c>
      <c r="D15" s="98" t="s">
        <v>115</v>
      </c>
      <c r="E15" s="98" t="s">
        <v>116</v>
      </c>
      <c r="F15" s="100"/>
      <c r="G15" s="100"/>
      <c r="H15" s="24"/>
      <c r="I15" s="24"/>
      <c r="J15" s="98" t="s">
        <v>117</v>
      </c>
      <c r="K15" s="110">
        <f>IF($C$20="","",IF($C$20="დიახ",0,IF($C$20="ნაწილობრივი",1,2)))</f>
        <v>0</v>
      </c>
      <c r="L15" s="98" t="s">
        <v>118</v>
      </c>
      <c r="N15" s="26" t="s">
        <v>119</v>
      </c>
      <c r="O15" s="26" t="s">
        <v>120</v>
      </c>
      <c r="P15" s="26" t="s">
        <v>121</v>
      </c>
      <c r="Q15" s="26" t="s">
        <v>122</v>
      </c>
      <c r="R15" s="26" t="s">
        <v>123</v>
      </c>
    </row>
    <row r="16" spans="1:18" ht="34.15" customHeight="1" x14ac:dyDescent="0.25">
      <c r="A16" s="97">
        <v>12</v>
      </c>
      <c r="B16" s="98" t="s">
        <v>124</v>
      </c>
      <c r="C16" s="99" t="s">
        <v>125</v>
      </c>
      <c r="D16" s="98" t="s">
        <v>126</v>
      </c>
      <c r="E16" s="98" t="s">
        <v>127</v>
      </c>
      <c r="F16" s="100"/>
      <c r="G16" s="100"/>
      <c r="H16" s="24"/>
      <c r="I16" s="24"/>
      <c r="J16" s="98" t="s">
        <v>128</v>
      </c>
      <c r="K16" s="110">
        <f>IF($C$15="","",IF($C$15="დიახ",0,IF($C$15="ზოგჯერ",1,2)))</f>
        <v>0</v>
      </c>
      <c r="L16" s="98" t="s">
        <v>129</v>
      </c>
      <c r="N16" s="36" t="s">
        <v>130</v>
      </c>
      <c r="O16" s="36" t="s">
        <v>131</v>
      </c>
      <c r="P16" s="36" t="s">
        <v>132</v>
      </c>
      <c r="Q16" s="36" t="s">
        <v>133</v>
      </c>
      <c r="R16" s="36" t="s">
        <v>134</v>
      </c>
    </row>
    <row r="17" spans="1:12" ht="34.15" customHeight="1" x14ac:dyDescent="0.25">
      <c r="A17" s="97">
        <v>13</v>
      </c>
      <c r="B17" s="98" t="s">
        <v>135</v>
      </c>
      <c r="C17" s="99" t="s">
        <v>136</v>
      </c>
      <c r="D17" s="98" t="s">
        <v>137</v>
      </c>
      <c r="E17" s="98" t="s">
        <v>138</v>
      </c>
      <c r="F17" s="100"/>
      <c r="G17" s="100"/>
      <c r="H17" s="24"/>
      <c r="I17" s="24"/>
      <c r="J17" s="98" t="s">
        <v>139</v>
      </c>
      <c r="K17" s="110">
        <f>IF($C$30="","",IF($C$30="სტაბილური",0,IF($C$30="სეზონური",1,2)))</f>
        <v>0</v>
      </c>
      <c r="L17" s="98" t="s">
        <v>140</v>
      </c>
    </row>
    <row r="18" spans="1:12" ht="34.15" customHeight="1" x14ac:dyDescent="0.25">
      <c r="A18" s="97">
        <v>14</v>
      </c>
      <c r="B18" s="98" t="s">
        <v>141</v>
      </c>
      <c r="C18" s="99" t="s">
        <v>10</v>
      </c>
      <c r="D18" s="98" t="s">
        <v>11</v>
      </c>
      <c r="E18" s="98" t="s">
        <v>142</v>
      </c>
      <c r="F18" s="100"/>
      <c r="G18" s="100"/>
      <c r="H18" s="24"/>
      <c r="I18" s="24"/>
      <c r="J18" s="24"/>
      <c r="K18" s="24"/>
      <c r="L18" s="24"/>
    </row>
    <row r="19" spans="1:12" ht="34.15" customHeight="1" x14ac:dyDescent="0.25">
      <c r="A19" s="97">
        <v>15</v>
      </c>
      <c r="B19" s="98" t="s">
        <v>143</v>
      </c>
      <c r="C19" s="99" t="s">
        <v>10</v>
      </c>
      <c r="D19" s="98" t="s">
        <v>144</v>
      </c>
      <c r="E19" s="98" t="s">
        <v>145</v>
      </c>
      <c r="F19" s="100"/>
      <c r="G19" s="100"/>
      <c r="H19" s="24"/>
      <c r="I19" s="24"/>
      <c r="J19" s="24"/>
      <c r="K19" s="24"/>
      <c r="L19" s="24"/>
    </row>
    <row r="20" spans="1:12" ht="34.15" customHeight="1" x14ac:dyDescent="0.25">
      <c r="A20" s="97">
        <v>16</v>
      </c>
      <c r="B20" s="98" t="s">
        <v>146</v>
      </c>
      <c r="C20" s="99" t="s">
        <v>10</v>
      </c>
      <c r="D20" s="98" t="s">
        <v>147</v>
      </c>
      <c r="E20" s="98" t="s">
        <v>148</v>
      </c>
      <c r="F20" s="100"/>
      <c r="G20" s="100"/>
      <c r="H20" s="24"/>
      <c r="I20" s="24"/>
      <c r="J20" s="24"/>
      <c r="K20" s="24"/>
      <c r="L20" s="24"/>
    </row>
    <row r="21" spans="1:12" ht="34.15" customHeight="1" x14ac:dyDescent="0.25">
      <c r="A21" s="97">
        <v>17</v>
      </c>
      <c r="B21" s="98" t="s">
        <v>149</v>
      </c>
      <c r="C21" s="103">
        <v>100000</v>
      </c>
      <c r="D21" s="98" t="s">
        <v>150</v>
      </c>
      <c r="E21" s="98" t="s">
        <v>151</v>
      </c>
      <c r="F21" s="100"/>
      <c r="G21" s="100"/>
      <c r="H21" s="24"/>
      <c r="I21" s="24"/>
      <c r="J21" s="24"/>
      <c r="K21" s="24"/>
      <c r="L21" s="24"/>
    </row>
    <row r="22" spans="1:12" ht="34.15" customHeight="1" x14ac:dyDescent="0.25">
      <c r="A22" s="97">
        <v>18</v>
      </c>
      <c r="B22" s="98" t="s">
        <v>26</v>
      </c>
      <c r="C22" s="99" t="s">
        <v>152</v>
      </c>
      <c r="D22" s="98" t="s">
        <v>153</v>
      </c>
      <c r="E22" s="98" t="s">
        <v>154</v>
      </c>
      <c r="F22" s="100"/>
      <c r="G22" s="100"/>
      <c r="H22" s="24"/>
      <c r="I22" s="24"/>
      <c r="J22" s="24"/>
      <c r="K22" s="24"/>
      <c r="L22" s="24"/>
    </row>
    <row r="23" spans="1:12" ht="34.15" customHeight="1" x14ac:dyDescent="0.25">
      <c r="A23" s="97">
        <v>19</v>
      </c>
      <c r="B23" s="98" t="s">
        <v>155</v>
      </c>
      <c r="C23" s="99" t="s">
        <v>156</v>
      </c>
      <c r="D23" s="98" t="s">
        <v>157</v>
      </c>
      <c r="E23" s="98" t="s">
        <v>158</v>
      </c>
      <c r="F23" s="100"/>
      <c r="G23" s="100"/>
      <c r="H23" s="24"/>
      <c r="I23" s="24"/>
      <c r="J23" s="24"/>
      <c r="K23" s="24"/>
      <c r="L23" s="24"/>
    </row>
    <row r="24" spans="1:12" ht="34.15" customHeight="1" x14ac:dyDescent="0.25">
      <c r="A24" s="97">
        <v>20</v>
      </c>
      <c r="B24" s="98" t="s">
        <v>159</v>
      </c>
      <c r="C24" s="99" t="s">
        <v>160</v>
      </c>
      <c r="D24" s="98" t="s">
        <v>161</v>
      </c>
      <c r="E24" s="98" t="s">
        <v>162</v>
      </c>
      <c r="F24" s="100"/>
      <c r="G24" s="100"/>
      <c r="H24" s="24"/>
      <c r="I24" s="24"/>
      <c r="J24" s="24"/>
      <c r="K24" s="24"/>
      <c r="L24" s="24"/>
    </row>
    <row r="25" spans="1:12" ht="34.15" customHeight="1" x14ac:dyDescent="0.25">
      <c r="A25" s="97">
        <v>21</v>
      </c>
      <c r="B25" s="98" t="s">
        <v>58</v>
      </c>
      <c r="C25" s="99" t="s">
        <v>163</v>
      </c>
      <c r="D25" s="98" t="s">
        <v>164</v>
      </c>
      <c r="E25" s="98" t="s">
        <v>165</v>
      </c>
      <c r="F25" s="100"/>
      <c r="G25" s="100"/>
      <c r="H25" s="24"/>
      <c r="I25" s="24"/>
      <c r="J25" s="24"/>
      <c r="K25" s="24"/>
      <c r="L25" s="24"/>
    </row>
    <row r="26" spans="1:12" ht="34.15" customHeight="1" x14ac:dyDescent="0.25">
      <c r="A26" s="97">
        <v>22</v>
      </c>
      <c r="B26" s="98" t="s">
        <v>166</v>
      </c>
      <c r="C26" s="104">
        <v>1.5</v>
      </c>
      <c r="D26" s="98" t="s">
        <v>167</v>
      </c>
      <c r="E26" s="98" t="s">
        <v>168</v>
      </c>
      <c r="F26" s="100"/>
      <c r="G26" s="100"/>
      <c r="H26" s="24"/>
      <c r="I26" s="24"/>
      <c r="J26" s="24"/>
      <c r="K26" s="24"/>
      <c r="L26" s="24"/>
    </row>
    <row r="27" spans="1:12" ht="34.15" customHeight="1" x14ac:dyDescent="0.25">
      <c r="A27" s="97">
        <v>23</v>
      </c>
      <c r="B27" s="98" t="s">
        <v>169</v>
      </c>
      <c r="C27" s="105">
        <v>0</v>
      </c>
      <c r="D27" s="98" t="s">
        <v>170</v>
      </c>
      <c r="E27" s="98" t="s">
        <v>171</v>
      </c>
      <c r="F27" s="100"/>
      <c r="G27" s="100"/>
      <c r="H27" s="24"/>
      <c r="I27" s="24"/>
      <c r="J27" s="24"/>
      <c r="K27" s="24"/>
      <c r="L27" s="24"/>
    </row>
    <row r="28" spans="1:12" ht="34.15" customHeight="1" x14ac:dyDescent="0.25">
      <c r="A28" s="97">
        <v>24</v>
      </c>
      <c r="B28" s="98" t="s">
        <v>88</v>
      </c>
      <c r="C28" s="99" t="s">
        <v>172</v>
      </c>
      <c r="D28" s="98" t="s">
        <v>173</v>
      </c>
      <c r="E28" s="98" t="s">
        <v>174</v>
      </c>
      <c r="F28" s="100"/>
      <c r="G28" s="100"/>
      <c r="H28" s="24"/>
      <c r="I28" s="24"/>
      <c r="J28" s="24"/>
      <c r="K28" s="24"/>
      <c r="L28" s="24"/>
    </row>
    <row r="29" spans="1:12" ht="34.15" customHeight="1" x14ac:dyDescent="0.25">
      <c r="A29" s="97">
        <v>25</v>
      </c>
      <c r="B29" s="98" t="s">
        <v>175</v>
      </c>
      <c r="C29" s="102">
        <v>45</v>
      </c>
      <c r="D29" s="98" t="s">
        <v>45</v>
      </c>
      <c r="E29" s="98" t="s">
        <v>176</v>
      </c>
      <c r="F29" s="100"/>
      <c r="G29" s="100"/>
      <c r="H29" s="24"/>
      <c r="I29" s="24"/>
      <c r="J29" s="24"/>
      <c r="K29" s="24"/>
      <c r="L29" s="24"/>
    </row>
    <row r="30" spans="1:12" ht="34.15" customHeight="1" x14ac:dyDescent="0.25">
      <c r="A30" s="97">
        <v>26</v>
      </c>
      <c r="B30" s="98" t="s">
        <v>139</v>
      </c>
      <c r="C30" s="99" t="s">
        <v>177</v>
      </c>
      <c r="D30" s="98" t="s">
        <v>178</v>
      </c>
      <c r="E30" s="98" t="s">
        <v>179</v>
      </c>
      <c r="F30" s="100"/>
      <c r="G30" s="100"/>
      <c r="H30" s="24"/>
      <c r="I30" s="24"/>
      <c r="J30" s="24"/>
      <c r="K30" s="24"/>
      <c r="L30" s="24"/>
    </row>
    <row r="31" spans="1:12" ht="34.15" customHeight="1" x14ac:dyDescent="0.25">
      <c r="A31" s="106">
        <v>27</v>
      </c>
      <c r="B31" s="107" t="s">
        <v>180</v>
      </c>
      <c r="C31" s="108" t="s">
        <v>55</v>
      </c>
      <c r="D31" s="107" t="s">
        <v>11</v>
      </c>
      <c r="E31" s="107" t="s">
        <v>181</v>
      </c>
      <c r="F31" s="90"/>
      <c r="G31" s="90"/>
    </row>
    <row r="32" spans="1:12" ht="34.15" customHeight="1" x14ac:dyDescent="0.25">
      <c r="A32" s="106">
        <v>28</v>
      </c>
      <c r="B32" s="107" t="s">
        <v>182</v>
      </c>
      <c r="C32" s="108" t="s">
        <v>55</v>
      </c>
      <c r="D32" s="107" t="s">
        <v>11</v>
      </c>
      <c r="E32" s="107" t="s">
        <v>183</v>
      </c>
      <c r="F32" s="90"/>
      <c r="G32" s="90"/>
    </row>
    <row r="33" spans="1:12" ht="34.15" customHeight="1" x14ac:dyDescent="0.25">
      <c r="A33" s="109">
        <v>29</v>
      </c>
      <c r="B33" s="85" t="s">
        <v>184</v>
      </c>
      <c r="C33" s="77" t="s">
        <v>55</v>
      </c>
      <c r="D33" s="85" t="s">
        <v>11</v>
      </c>
      <c r="E33" s="85" t="s">
        <v>185</v>
      </c>
      <c r="F33" s="100"/>
      <c r="G33" s="100"/>
      <c r="H33" s="24"/>
      <c r="I33" s="24"/>
      <c r="J33" s="24"/>
      <c r="K33" s="24"/>
      <c r="L33" s="24"/>
    </row>
    <row r="34" spans="1:12" ht="34.15" customHeight="1" x14ac:dyDescent="0.25">
      <c r="A34" s="96"/>
      <c r="B34" s="24"/>
      <c r="C34" s="24"/>
      <c r="D34" s="24"/>
      <c r="E34" s="24"/>
      <c r="F34" s="24"/>
      <c r="G34" s="24"/>
      <c r="H34" s="24"/>
      <c r="I34" s="24"/>
      <c r="J34" s="24"/>
      <c r="K34" s="24"/>
      <c r="L34" s="24"/>
    </row>
    <row r="35" spans="1:12" ht="28.5" customHeight="1" x14ac:dyDescent="0.25">
      <c r="A35" s="171" t="s">
        <v>186</v>
      </c>
      <c r="B35" s="155"/>
      <c r="C35" s="155"/>
      <c r="D35" s="155"/>
      <c r="E35" s="155"/>
      <c r="F35" s="155"/>
    </row>
    <row r="36" spans="1:12" ht="54" customHeight="1" x14ac:dyDescent="0.25">
      <c r="A36" s="29" t="s">
        <v>17</v>
      </c>
      <c r="B36" s="29" t="s">
        <v>187</v>
      </c>
      <c r="C36" s="29" t="s">
        <v>188</v>
      </c>
      <c r="D36" s="29" t="s">
        <v>189</v>
      </c>
      <c r="E36" s="29" t="s">
        <v>190</v>
      </c>
      <c r="F36" s="172" t="s">
        <v>191</v>
      </c>
      <c r="G36" s="172"/>
      <c r="H36" s="24"/>
      <c r="I36" s="24"/>
      <c r="J36" s="24"/>
      <c r="K36" s="24"/>
      <c r="L36" s="24"/>
    </row>
    <row r="37" spans="1:12" ht="54" customHeight="1" x14ac:dyDescent="0.25">
      <c r="A37" s="27" t="s">
        <v>28</v>
      </c>
      <c r="B37" s="26" t="s">
        <v>192</v>
      </c>
      <c r="C37" s="26" t="s">
        <v>193</v>
      </c>
      <c r="D37" s="26" t="s">
        <v>194</v>
      </c>
      <c r="E37" s="26" t="s">
        <v>195</v>
      </c>
      <c r="F37" s="111" t="s">
        <v>196</v>
      </c>
      <c r="G37" s="24"/>
      <c r="H37" s="24"/>
      <c r="I37" s="24"/>
      <c r="J37" s="24"/>
      <c r="K37" s="24"/>
      <c r="L37" s="24"/>
    </row>
    <row r="38" spans="1:12" ht="54" customHeight="1" x14ac:dyDescent="0.25">
      <c r="A38" s="27" t="s">
        <v>39</v>
      </c>
      <c r="B38" s="26" t="s">
        <v>197</v>
      </c>
      <c r="C38" s="26" t="s">
        <v>198</v>
      </c>
      <c r="D38" s="26" t="s">
        <v>199</v>
      </c>
      <c r="E38" s="26" t="s">
        <v>200</v>
      </c>
      <c r="F38" s="111" t="s">
        <v>201</v>
      </c>
      <c r="G38" s="24"/>
      <c r="H38" s="24"/>
      <c r="I38" s="24"/>
      <c r="J38" s="24"/>
      <c r="K38" s="24"/>
      <c r="L38" s="24"/>
    </row>
    <row r="39" spans="1:12" ht="54" customHeight="1" x14ac:dyDescent="0.25">
      <c r="A39" s="27" t="s">
        <v>49</v>
      </c>
      <c r="B39" s="26" t="s">
        <v>202</v>
      </c>
      <c r="C39" s="26" t="s">
        <v>203</v>
      </c>
      <c r="D39" s="26" t="s">
        <v>204</v>
      </c>
      <c r="E39" s="26" t="s">
        <v>205</v>
      </c>
      <c r="F39" s="111" t="s">
        <v>206</v>
      </c>
      <c r="G39" s="24"/>
      <c r="H39" s="24"/>
      <c r="I39" s="24"/>
      <c r="J39" s="24"/>
      <c r="K39" s="24"/>
      <c r="L39" s="24"/>
    </row>
    <row r="40" spans="1:12" ht="54" customHeight="1" x14ac:dyDescent="0.25">
      <c r="A40" s="27" t="s">
        <v>60</v>
      </c>
      <c r="B40" s="26" t="s">
        <v>207</v>
      </c>
      <c r="C40" s="26" t="s">
        <v>208</v>
      </c>
      <c r="D40" s="26" t="s">
        <v>209</v>
      </c>
      <c r="E40" s="26" t="s">
        <v>210</v>
      </c>
      <c r="F40" s="111" t="s">
        <v>211</v>
      </c>
      <c r="G40" s="24"/>
      <c r="H40" s="24"/>
      <c r="I40" s="24"/>
      <c r="J40" s="24"/>
      <c r="K40" s="24"/>
      <c r="L40" s="24"/>
    </row>
    <row r="41" spans="1:12" ht="54" customHeight="1" x14ac:dyDescent="0.25">
      <c r="A41" s="27" t="s">
        <v>70</v>
      </c>
      <c r="B41" s="26" t="s">
        <v>212</v>
      </c>
      <c r="C41" s="26" t="s">
        <v>213</v>
      </c>
      <c r="D41" s="26" t="s">
        <v>214</v>
      </c>
      <c r="E41" s="26" t="s">
        <v>215</v>
      </c>
      <c r="F41" s="111" t="s">
        <v>216</v>
      </c>
      <c r="G41" s="24"/>
      <c r="H41" s="24"/>
      <c r="I41" s="24"/>
      <c r="J41" s="24"/>
      <c r="K41" s="24"/>
      <c r="L41" s="24"/>
    </row>
    <row r="42" spans="1:12" ht="54" customHeight="1" x14ac:dyDescent="0.25">
      <c r="A42" s="27" t="s">
        <v>80</v>
      </c>
      <c r="B42" s="26" t="s">
        <v>217</v>
      </c>
      <c r="C42" s="26" t="s">
        <v>218</v>
      </c>
      <c r="D42" s="26" t="s">
        <v>219</v>
      </c>
      <c r="E42" s="26" t="s">
        <v>220</v>
      </c>
      <c r="F42" s="111" t="s">
        <v>221</v>
      </c>
      <c r="G42" s="24"/>
      <c r="H42" s="24"/>
      <c r="I42" s="24"/>
      <c r="J42" s="24"/>
      <c r="K42" s="24"/>
      <c r="L42" s="24"/>
    </row>
    <row r="43" spans="1:12" ht="54" customHeight="1" x14ac:dyDescent="0.25">
      <c r="A43" s="37" t="s">
        <v>130</v>
      </c>
      <c r="B43" s="36" t="s">
        <v>222</v>
      </c>
      <c r="C43" s="36" t="s">
        <v>223</v>
      </c>
      <c r="D43" s="36" t="s">
        <v>224</v>
      </c>
      <c r="E43" s="36" t="s">
        <v>225</v>
      </c>
      <c r="F43" s="112" t="s">
        <v>226</v>
      </c>
    </row>
    <row r="44" spans="1:12" ht="54" customHeight="1" x14ac:dyDescent="0.25">
      <c r="A44" s="114" t="s">
        <v>100</v>
      </c>
      <c r="B44" s="115" t="s">
        <v>227</v>
      </c>
      <c r="C44" s="115" t="s">
        <v>228</v>
      </c>
      <c r="D44" s="115" t="s">
        <v>103</v>
      </c>
      <c r="E44" s="115" t="s">
        <v>229</v>
      </c>
      <c r="F44" s="116" t="s">
        <v>230</v>
      </c>
      <c r="G44" s="24"/>
      <c r="H44" s="24"/>
      <c r="I44" s="24"/>
      <c r="J44" s="24"/>
      <c r="K44" s="24"/>
      <c r="L44" s="24"/>
    </row>
    <row r="45" spans="1:12" ht="54" customHeight="1" x14ac:dyDescent="0.25">
      <c r="A45" s="114" t="s">
        <v>231</v>
      </c>
      <c r="B45" s="115" t="s">
        <v>232</v>
      </c>
      <c r="C45" s="115" t="s">
        <v>233</v>
      </c>
      <c r="D45" s="115" t="s">
        <v>234</v>
      </c>
      <c r="E45" s="115" t="s">
        <v>235</v>
      </c>
      <c r="F45" s="116" t="s">
        <v>236</v>
      </c>
      <c r="G45" s="93"/>
      <c r="H45" s="93"/>
      <c r="I45" s="93"/>
      <c r="J45" s="93"/>
      <c r="K45" s="93"/>
      <c r="L45" s="93"/>
    </row>
    <row r="46" spans="1:12" ht="55.9" customHeight="1" x14ac:dyDescent="0.25">
      <c r="A46" s="24"/>
      <c r="B46" s="170"/>
      <c r="C46" s="155"/>
      <c r="D46" s="155"/>
      <c r="E46" s="155"/>
      <c r="F46" s="155"/>
      <c r="G46" s="155"/>
      <c r="H46" s="155"/>
      <c r="I46" s="155"/>
      <c r="J46" s="155"/>
      <c r="K46" s="155"/>
      <c r="L46" s="155"/>
    </row>
    <row r="47" spans="1:12" x14ac:dyDescent="0.25">
      <c r="A47" s="168" t="s">
        <v>237</v>
      </c>
      <c r="B47" s="155"/>
      <c r="C47" s="155"/>
      <c r="D47" s="155"/>
      <c r="E47" s="155"/>
    </row>
    <row r="48" spans="1:12" ht="42.75" customHeight="1" x14ac:dyDescent="0.25">
      <c r="A48" s="101" t="s">
        <v>28</v>
      </c>
      <c r="B48" s="113" t="s">
        <v>238</v>
      </c>
      <c r="C48" s="113"/>
      <c r="D48" s="113"/>
      <c r="E48" s="113"/>
      <c r="F48" s="113"/>
      <c r="G48" s="113"/>
      <c r="H48" s="38"/>
      <c r="I48" s="38"/>
      <c r="J48" s="38"/>
      <c r="K48" s="38"/>
      <c r="L48" s="38"/>
    </row>
    <row r="49" spans="1:12" ht="28.5" customHeight="1" x14ac:dyDescent="0.25">
      <c r="A49" s="101" t="s">
        <v>39</v>
      </c>
      <c r="B49" s="113" t="s">
        <v>239</v>
      </c>
      <c r="C49" s="113"/>
      <c r="D49" s="113"/>
      <c r="E49" s="113"/>
      <c r="F49" s="113"/>
      <c r="G49" s="113"/>
      <c r="H49" s="38"/>
      <c r="I49" s="38"/>
      <c r="J49" s="38"/>
      <c r="K49" s="38"/>
      <c r="L49" s="38"/>
    </row>
  </sheetData>
  <autoFilter ref="A4:E30" xr:uid="{00000000-0009-0000-0000-000002000000}"/>
  <mergeCells count="8">
    <mergeCell ref="G4:H4"/>
    <mergeCell ref="A2:E2"/>
    <mergeCell ref="A47:E47"/>
    <mergeCell ref="A1:E1"/>
    <mergeCell ref="B46:L46"/>
    <mergeCell ref="J4:L4"/>
    <mergeCell ref="A35:F35"/>
    <mergeCell ref="F36:G36"/>
  </mergeCells>
  <conditionalFormatting sqref="H12">
    <cfRule type="cellIs" dxfId="5" priority="1" operator="lessThanOrEqual">
      <formula>5</formula>
    </cfRule>
    <cfRule type="cellIs" dxfId="4" priority="2" operator="between">
      <formula>6</formula>
      <formula>12</formula>
    </cfRule>
    <cfRule type="cellIs" dxfId="3" priority="3" operator="greaterThan">
      <formula>12</formula>
    </cfRule>
  </conditionalFormatting>
  <conditionalFormatting sqref="K6:K17">
    <cfRule type="cellIs" dxfId="2" priority="4" operator="equal">
      <formula>0</formula>
    </cfRule>
    <cfRule type="cellIs" dxfId="1" priority="5" operator="equal">
      <formula>1</formula>
    </cfRule>
    <cfRule type="cellIs" dxfId="0" priority="6" operator="equal">
      <formula>2</formula>
    </cfRule>
  </conditionalFormatting>
  <dataValidations count="15">
    <dataValidation type="list" errorTitle="Invalid input" error="Select a value from the dropdown list." sqref="C5 C9:C13 C18" xr:uid="{00000000-0002-0000-0200-000000000000}">
      <formula1>"დიახ,არა"</formula1>
    </dataValidation>
    <dataValidation type="list" errorTitle="Invalid input" error="Select a value from the dropdown list." sqref="C6" xr:uid="{00000000-0002-0000-0200-000001000000}">
      <formula1>"მარაგი,ნედლეული,მიმწოდებლის წინასწარი გადახდა,სეზონური მარაგი,დადასტურებული შეკვეთა,საოპერაციო ხარჯები,იმპორტი/ექსპორტი,დებიტორული დავალიანება"</formula1>
    </dataValidation>
    <dataValidation type="list" errorTitle="Invalid input" error="Select a value from the dropdown list." sqref="C7" xr:uid="{00000000-0002-0000-0200-000002000000}">
      <formula1>"ერთჯერადი,განმეორებითი"</formula1>
    </dataValidation>
    <dataValidation type="list" errorTitle="Invalid input" error="Select a value from the dropdown list." sqref="C15" xr:uid="{00000000-0002-0000-0200-000003000000}">
      <formula1>"დიახ,არა,ზოგჯერ"</formula1>
    </dataValidation>
    <dataValidation type="list" errorTitle="Invalid input" error="Select a value from the dropdown list." sqref="C16" xr:uid="{00000000-0002-0000-0200-000004000000}">
      <formula1>"თვიური,კვარტალური,სეზონური,ერთიანი დაფარვა,მოქნილი ათვისება/დაფარვა,კლიენტის გადახდის შემდეგ"</formula1>
    </dataValidation>
    <dataValidation type="list" errorTitle="Invalid input" error="Select a value from the dropdown list." sqref="C17" xr:uid="{00000000-0002-0000-0200-000005000000}">
      <formula1>"უძრავი ქონება,დეპოზიტი / ნაღდი ფულით უზრუნველყოფა,მარაგი,დებიტორული დავალიანება,აღჭურვილობა,პირადი გარანტია,მყარი უზრუნველყოფა არ არის,სახელმწიფო გარანტიისთვის დასაშვები"</formula1>
    </dataValidation>
    <dataValidation type="list" errorTitle="Invalid input" error="Select a value from the dropdown list." sqref="C19" xr:uid="{00000000-0002-0000-0200-000006000000}">
      <formula1>"დიახ,არა,უცნობია"</formula1>
    </dataValidation>
    <dataValidation type="list" errorTitle="Invalid input" error="Select a value from the dropdown list." sqref="C20" xr:uid="{00000000-0002-0000-0200-000007000000}">
      <formula1>"დიახ,არა,ნაწილობრივი"</formula1>
    </dataValidation>
    <dataValidation type="list" errorTitle="Invalid input" error="Select a value from the dropdown list." sqref="C22" xr:uid="{00000000-0002-0000-0200-000008000000}">
      <formula1>"3 წელზე მეტი,1-3 წელი,1 წელზე ნაკლები"</formula1>
    </dataValidation>
    <dataValidation type="list" errorTitle="Invalid input" error="Select a value from the dropdown list." sqref="C23" xr:uid="{00000000-0002-0000-0200-000009000000}">
      <formula1>"აუდიტირებული / მოწესრიგებული საგადასახადო ჩანაწერები,საბაზისო ბუღალტერია,არაფორმალური ან არასრული"</formula1>
    </dataValidation>
    <dataValidation type="list" errorTitle="Invalid input" error="Select a value from the dropdown list." sqref="C24" xr:uid="{00000000-0002-0000-0200-00000A000000}">
      <formula1>"სტაბილური - ბანკისთვის ხილული,სეზონური,არარეგულარული / ძირითადად ნაღდი"</formula1>
    </dataValidation>
    <dataValidation type="list" errorTitle="Invalid input" error="Select a value from the dropdown list." sqref="C25" xr:uid="{00000000-0002-0000-0200-00000B000000}">
      <formula1>"სტაბილურად დადებითი,მერყევი,ზარალიანი"</formula1>
    </dataValidation>
    <dataValidation type="list" errorTitle="Invalid input" error="Select a value from the dropdown list." sqref="C28" xr:uid="{00000000-0002-0000-0200-00000C000000}">
      <formula1>"დივერსიფიცირებული,ზომიერი,ერთი/რამდენიმე მყიდველი"</formula1>
    </dataValidation>
    <dataValidation type="list" errorTitle="Invalid input" error="Select a value from the dropdown list." sqref="C30" xr:uid="{00000000-0002-0000-0200-00000D000000}">
      <formula1>"სტაბილური,სეზონური,მერყევი/მაღალი რისკი"</formula1>
    </dataValidation>
    <dataValidation type="list" sqref="C31:C34" xr:uid="{00000000-0002-0000-0200-00000E000000}">
      <formula1>"დიახ,არა"</formula1>
    </dataValidation>
  </dataValidations>
  <pageMargins left="0.75" right="0.75" top="1" bottom="1" header="0.5" footer="0.5"/>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8"/>
  <sheetViews>
    <sheetView showGridLines="0" topLeftCell="A10" zoomScale="101" workbookViewId="0">
      <selection activeCell="B27" sqref="B27"/>
    </sheetView>
  </sheetViews>
  <sheetFormatPr defaultRowHeight="15" x14ac:dyDescent="0.25"/>
  <cols>
    <col min="1" max="1" width="18.7109375" customWidth="1"/>
    <col min="2" max="2" width="42" customWidth="1"/>
    <col min="3" max="3" width="24" customWidth="1"/>
    <col min="4" max="4" width="35" customWidth="1"/>
    <col min="5" max="5" width="52" customWidth="1"/>
    <col min="6" max="6" width="11.7109375" customWidth="1"/>
    <col min="7" max="7" width="17.140625" customWidth="1"/>
    <col min="8" max="8" width="28.7109375" customWidth="1"/>
    <col min="9" max="9" width="10.7109375" customWidth="1"/>
    <col min="10" max="10" width="42.28515625" customWidth="1"/>
    <col min="11" max="14" width="18" customWidth="1"/>
    <col min="15" max="15" width="20" customWidth="1"/>
  </cols>
  <sheetData>
    <row r="1" spans="1:12" ht="19.5" customHeight="1" x14ac:dyDescent="0.25">
      <c r="A1" s="154" t="s">
        <v>313</v>
      </c>
      <c r="B1" s="155"/>
      <c r="C1" s="155"/>
      <c r="D1" s="155"/>
      <c r="E1" s="155"/>
      <c r="F1" s="120"/>
      <c r="G1" s="120"/>
      <c r="H1" s="120"/>
      <c r="I1" s="120"/>
      <c r="J1" s="120"/>
      <c r="K1" s="120"/>
      <c r="L1" s="120"/>
    </row>
    <row r="2" spans="1:12" ht="46.15" customHeight="1" x14ac:dyDescent="0.25">
      <c r="A2" s="164" t="s">
        <v>314</v>
      </c>
      <c r="B2" s="155"/>
      <c r="C2" s="155"/>
      <c r="D2" s="155"/>
      <c r="E2" s="155"/>
      <c r="F2" s="120"/>
      <c r="G2" s="120"/>
      <c r="H2" s="120"/>
      <c r="I2" s="120"/>
      <c r="J2" s="120"/>
      <c r="K2" s="120"/>
      <c r="L2" s="120"/>
    </row>
    <row r="3" spans="1:12" x14ac:dyDescent="0.25">
      <c r="A3" s="120"/>
      <c r="B3" s="120"/>
      <c r="C3" s="120"/>
      <c r="D3" s="120"/>
      <c r="E3" s="120"/>
      <c r="F3" s="120"/>
      <c r="G3" s="120"/>
      <c r="H3" s="120"/>
      <c r="I3" s="120"/>
      <c r="J3" s="120"/>
      <c r="K3" s="120"/>
      <c r="L3" s="120"/>
    </row>
    <row r="4" spans="1:12" x14ac:dyDescent="0.25">
      <c r="A4" s="121" t="s">
        <v>2</v>
      </c>
      <c r="B4" s="121" t="s">
        <v>3</v>
      </c>
      <c r="C4" s="121" t="s">
        <v>4</v>
      </c>
      <c r="D4" s="121" t="s">
        <v>5</v>
      </c>
      <c r="E4" s="121" t="s">
        <v>6</v>
      </c>
      <c r="F4" s="120"/>
      <c r="G4" s="161" t="s">
        <v>315</v>
      </c>
      <c r="H4" s="155"/>
      <c r="I4" s="120"/>
      <c r="J4" s="122" t="s">
        <v>316</v>
      </c>
      <c r="K4" s="122" t="s">
        <v>317</v>
      </c>
      <c r="L4" s="120"/>
    </row>
    <row r="5" spans="1:12" ht="42.75" customHeight="1" x14ac:dyDescent="0.25">
      <c r="A5" s="123">
        <v>1</v>
      </c>
      <c r="B5" s="124" t="s">
        <v>318</v>
      </c>
      <c r="C5" s="125" t="s">
        <v>10</v>
      </c>
      <c r="D5" s="124" t="s">
        <v>11</v>
      </c>
      <c r="E5" s="124" t="s">
        <v>319</v>
      </c>
      <c r="F5" s="120"/>
      <c r="G5" s="144" t="s">
        <v>320</v>
      </c>
      <c r="H5" s="143">
        <f>SUM(K5:K16)</f>
        <v>16</v>
      </c>
      <c r="I5" s="120"/>
      <c r="J5" s="124" t="s">
        <v>318</v>
      </c>
      <c r="K5" s="124">
        <f>IF(C5="დიახ",2,-5)</f>
        <v>2</v>
      </c>
      <c r="L5" s="120"/>
    </row>
    <row r="6" spans="1:12" ht="28.5" customHeight="1" x14ac:dyDescent="0.25">
      <c r="A6" s="123">
        <v>2</v>
      </c>
      <c r="B6" s="124" t="s">
        <v>321</v>
      </c>
      <c r="C6" s="125" t="s">
        <v>322</v>
      </c>
      <c r="D6" s="124" t="s">
        <v>323</v>
      </c>
      <c r="E6" s="124" t="s">
        <v>324</v>
      </c>
      <c r="F6" s="120"/>
      <c r="G6" s="144" t="s">
        <v>325</v>
      </c>
      <c r="H6" s="145" t="str">
        <f>IF(C5="არა","ჰეჯირება საჭირო არ არის",IF(H5&gt;=8,"ჰეჯირება მკაცრად რეკომენდებულია",IF(H5&gt;=5,"განიხილეთ ნაწილობრივი ჰეჯირება",IF(H5&gt;=2,"Monitor / natural ჰეჯირება first","No derivative ჰეჯირება unless management wants certainty"))))</f>
        <v>ჰეჯირება მკაცრად რეკომენდებულია</v>
      </c>
      <c r="I6" s="120"/>
      <c r="J6" s="124" t="s">
        <v>321</v>
      </c>
      <c r="K6" s="124">
        <f>IF(OR(C6="იმპორტიორის კრედიტორული დავალიანება",C6="სავალუტო სესხი",C6="შერეული"),2,IF(C6="ექსპორტიორის დებიტორული დავალიანება",1,0))</f>
        <v>2</v>
      </c>
      <c r="L6" s="120"/>
    </row>
    <row r="7" spans="1:12" ht="28.5" customHeight="1" x14ac:dyDescent="0.25">
      <c r="A7" s="123">
        <v>3</v>
      </c>
      <c r="B7" s="124" t="s">
        <v>326</v>
      </c>
      <c r="C7" s="125" t="s">
        <v>276</v>
      </c>
      <c r="D7" s="124" t="s">
        <v>327</v>
      </c>
      <c r="E7" s="124" t="s">
        <v>328</v>
      </c>
      <c r="F7" s="120"/>
      <c r="G7" s="144" t="s">
        <v>329</v>
      </c>
      <c r="H7" s="143" t="str">
        <f>IF(C15="არა","საბანკო პროდუქტზე წვდომა დადასტურებული არ არის",IF(C11="დიახ","პირველ რიგში ბუნებრივი ჰეჯირება / ფასის კორექტირება",IF(C14="დიახ","სავალუტო ფორვარდი for committed რისკის ზეგავლენა",IF(C16="დიახ","Partial სავალუტო ფორვარდი / layered ჰეჯირება","სავალუტო ფორვარდი, subject to bank quote"))))</f>
        <v>სავალუტო ფორვარდი, subject to bank quote</v>
      </c>
      <c r="I7" s="120"/>
      <c r="J7" s="124" t="s">
        <v>326</v>
      </c>
      <c r="K7" s="124">
        <f>IF(OR(C7="USD",C7="EUR"),1,0)</f>
        <v>1</v>
      </c>
      <c r="L7" s="120"/>
    </row>
    <row r="8" spans="1:12" ht="28.5" customHeight="1" x14ac:dyDescent="0.25">
      <c r="A8" s="123">
        <v>4</v>
      </c>
      <c r="B8" s="142" t="s">
        <v>330</v>
      </c>
      <c r="C8" s="127">
        <v>100000</v>
      </c>
      <c r="D8" s="124" t="s">
        <v>331</v>
      </c>
      <c r="E8" s="124" t="s">
        <v>332</v>
      </c>
      <c r="F8" s="120"/>
      <c r="G8" s="144" t="s">
        <v>333</v>
      </c>
      <c r="H8" s="146">
        <f>IF(C16="დიახ",50%,IF(H5&gt;=8,80%,IF(H5&gt;=5,50%,0%)))</f>
        <v>0.8</v>
      </c>
      <c r="I8" s="120"/>
      <c r="J8" s="124" t="s">
        <v>330</v>
      </c>
      <c r="K8" s="124">
        <f>IF(ABS(C8)&gt;=50000,2,IF(ABS(C8)&gt;=10000,1,0))</f>
        <v>2</v>
      </c>
      <c r="L8" s="120"/>
    </row>
    <row r="9" spans="1:12" ht="61.9" customHeight="1" x14ac:dyDescent="0.25">
      <c r="A9" s="123">
        <v>5</v>
      </c>
      <c r="B9" s="142" t="s">
        <v>334</v>
      </c>
      <c r="C9" s="128">
        <v>45</v>
      </c>
      <c r="D9" s="124" t="s">
        <v>45</v>
      </c>
      <c r="E9" s="124" t="s">
        <v>335</v>
      </c>
      <c r="F9" s="120"/>
      <c r="G9" s="144" t="s">
        <v>336</v>
      </c>
      <c r="H9" s="143" t="str">
        <f>IF(C12="დიახ","სავალუტო სესხი/revenue mismatch: consider ჰეჯირება or refinance in revenue ვალუტა.",IF(C11="დიახ","Pricing pass-through exists: quantify natural ჰეჯირება before buying derivatives.",IF(C15&lt;&gt;"დიახ","Confirm პროდუქტი access and უზრუნველყოფა/margin requirements with bank treasury.","Use ჰეჯირება to reduce volatility, not to speculate.")))</f>
        <v>სავალუტო სესხი/revenue mismatch: consider ჰეჯირება or refinance in revenue ვალუტა.</v>
      </c>
      <c r="I9" s="120"/>
      <c r="J9" s="124" t="s">
        <v>334</v>
      </c>
      <c r="K9" s="124">
        <f>IF(C9&gt;=90,2,IF(C9&gt;=30,1,0))</f>
        <v>1</v>
      </c>
      <c r="L9" s="120"/>
    </row>
    <row r="10" spans="1:12" ht="28.5" customHeight="1" x14ac:dyDescent="0.25">
      <c r="A10" s="123">
        <v>6</v>
      </c>
      <c r="B10" s="124" t="s">
        <v>337</v>
      </c>
      <c r="C10" s="125" t="s">
        <v>338</v>
      </c>
      <c r="D10" s="124" t="s">
        <v>339</v>
      </c>
      <c r="E10" s="124" t="s">
        <v>340</v>
      </c>
      <c r="F10" s="120"/>
      <c r="G10" s="120"/>
      <c r="H10" s="120"/>
      <c r="I10" s="120"/>
      <c r="J10" s="124" t="s">
        <v>337</v>
      </c>
      <c r="K10" s="124">
        <f>IF(C10="დიახ",2,IF(C10="ნაწილობრივ",1,0))</f>
        <v>1</v>
      </c>
      <c r="L10" s="120"/>
    </row>
    <row r="11" spans="1:12" ht="28.5" customHeight="1" x14ac:dyDescent="0.25">
      <c r="A11" s="123">
        <v>7</v>
      </c>
      <c r="B11" s="124" t="s">
        <v>341</v>
      </c>
      <c r="C11" s="125" t="s">
        <v>55</v>
      </c>
      <c r="D11" s="124" t="s">
        <v>339</v>
      </c>
      <c r="E11" s="124" t="s">
        <v>342</v>
      </c>
      <c r="F11" s="120"/>
      <c r="G11" s="120"/>
      <c r="H11" s="120"/>
      <c r="I11" s="120"/>
      <c r="J11" s="124" t="s">
        <v>341</v>
      </c>
      <c r="K11" s="124">
        <f>IF(C11="არა",2,IF(C11="ნაწილობრივ",1,0))</f>
        <v>2</v>
      </c>
      <c r="L11" s="120"/>
    </row>
    <row r="12" spans="1:12" ht="28.5" customHeight="1" x14ac:dyDescent="0.25">
      <c r="A12" s="123">
        <v>8</v>
      </c>
      <c r="B12" s="124" t="s">
        <v>343</v>
      </c>
      <c r="C12" s="125" t="s">
        <v>10</v>
      </c>
      <c r="D12" s="124" t="s">
        <v>147</v>
      </c>
      <c r="E12" s="124" t="s">
        <v>344</v>
      </c>
      <c r="F12" s="120"/>
      <c r="G12" s="120"/>
      <c r="H12" s="120"/>
      <c r="I12" s="120"/>
      <c r="J12" s="124" t="s">
        <v>343</v>
      </c>
      <c r="K12" s="124">
        <f>IF(C12="დიახ",2,IF(C12="ნაწილობრივი",1,0))</f>
        <v>2</v>
      </c>
      <c r="L12" s="120"/>
    </row>
    <row r="13" spans="1:12" ht="42.75" customHeight="1" x14ac:dyDescent="0.25">
      <c r="A13" s="123">
        <v>9</v>
      </c>
      <c r="B13" s="124" t="s">
        <v>345</v>
      </c>
      <c r="C13" s="125" t="s">
        <v>10</v>
      </c>
      <c r="D13" s="124" t="s">
        <v>144</v>
      </c>
      <c r="E13" s="124" t="s">
        <v>346</v>
      </c>
      <c r="F13" s="120"/>
      <c r="G13" s="120"/>
      <c r="H13" s="120"/>
      <c r="I13" s="120"/>
      <c r="J13" s="124" t="s">
        <v>345</v>
      </c>
      <c r="K13" s="124">
        <f>IF(C13="დიახ",2,IF(C13="უცნობია",1,0))</f>
        <v>2</v>
      </c>
      <c r="L13" s="120"/>
    </row>
    <row r="14" spans="1:12" ht="28.5" customHeight="1" x14ac:dyDescent="0.25">
      <c r="A14" s="123">
        <v>10</v>
      </c>
      <c r="B14" s="124" t="s">
        <v>347</v>
      </c>
      <c r="C14" s="125" t="s">
        <v>55</v>
      </c>
      <c r="D14" s="124" t="s">
        <v>11</v>
      </c>
      <c r="E14" s="124" t="s">
        <v>348</v>
      </c>
      <c r="F14" s="120"/>
      <c r="G14" s="120"/>
      <c r="H14" s="120"/>
      <c r="I14" s="120"/>
      <c r="J14" s="124" t="s">
        <v>347</v>
      </c>
      <c r="K14" s="124">
        <f>IF(C14="დიახ",1,0)</f>
        <v>0</v>
      </c>
      <c r="L14" s="120"/>
    </row>
    <row r="15" spans="1:12" ht="28.5" customHeight="1" x14ac:dyDescent="0.25">
      <c r="A15" s="123">
        <v>11</v>
      </c>
      <c r="B15" s="124" t="s">
        <v>349</v>
      </c>
      <c r="C15" s="125" t="s">
        <v>10</v>
      </c>
      <c r="D15" s="124" t="s">
        <v>144</v>
      </c>
      <c r="E15" s="124" t="s">
        <v>350</v>
      </c>
      <c r="F15" s="120"/>
      <c r="G15" s="120"/>
      <c r="H15" s="120"/>
      <c r="I15" s="120"/>
      <c r="J15" s="124" t="s">
        <v>349</v>
      </c>
      <c r="K15" s="124">
        <f>IF(C15="დიახ",1,IF(C15="უცნობია",0,-2))</f>
        <v>1</v>
      </c>
      <c r="L15" s="120"/>
    </row>
    <row r="16" spans="1:12" ht="28.5" customHeight="1" x14ac:dyDescent="0.25">
      <c r="A16" s="123">
        <v>12</v>
      </c>
      <c r="B16" s="124" t="s">
        <v>351</v>
      </c>
      <c r="C16" s="125" t="s">
        <v>55</v>
      </c>
      <c r="D16" s="124" t="s">
        <v>11</v>
      </c>
      <c r="E16" s="124" t="s">
        <v>352</v>
      </c>
      <c r="F16" s="120"/>
      <c r="G16" s="120"/>
      <c r="H16" s="120"/>
      <c r="I16" s="120"/>
      <c r="J16" s="124" t="s">
        <v>351</v>
      </c>
      <c r="K16" s="124">
        <f>IF(C16="დიახ",1,0)</f>
        <v>0</v>
      </c>
      <c r="L16" s="120"/>
    </row>
    <row r="17" spans="1:12" x14ac:dyDescent="0.25">
      <c r="A17" s="120"/>
      <c r="B17" s="120"/>
      <c r="C17" s="120"/>
      <c r="D17" s="120"/>
      <c r="E17" s="120"/>
      <c r="F17" s="120"/>
      <c r="G17" s="120"/>
      <c r="H17" s="120"/>
      <c r="I17" s="120"/>
      <c r="J17" s="120"/>
      <c r="K17" s="120"/>
      <c r="L17" s="120"/>
    </row>
    <row r="18" spans="1:12" x14ac:dyDescent="0.25">
      <c r="A18" s="120"/>
      <c r="B18" s="120"/>
      <c r="C18" s="120"/>
      <c r="D18" s="120"/>
      <c r="E18" s="120"/>
      <c r="F18" s="120"/>
      <c r="G18" s="120"/>
      <c r="H18" s="120"/>
      <c r="I18" s="120"/>
      <c r="J18" s="120"/>
      <c r="K18" s="120"/>
      <c r="L18" s="120"/>
    </row>
    <row r="19" spans="1:12" x14ac:dyDescent="0.25">
      <c r="A19" s="120"/>
      <c r="B19" s="120"/>
      <c r="C19" s="120"/>
      <c r="D19" s="120"/>
      <c r="E19" s="120"/>
      <c r="F19" s="120"/>
      <c r="G19" s="120"/>
      <c r="H19" s="120"/>
      <c r="I19" s="120"/>
      <c r="J19" s="120"/>
      <c r="K19" s="120"/>
      <c r="L19" s="120"/>
    </row>
    <row r="20" spans="1:12" ht="16.899999999999999" customHeight="1" x14ac:dyDescent="0.25">
      <c r="A20" s="160" t="s">
        <v>353</v>
      </c>
      <c r="B20" s="155"/>
      <c r="C20" s="155"/>
      <c r="D20" s="155"/>
      <c r="E20" s="122" t="s">
        <v>354</v>
      </c>
      <c r="F20" s="120"/>
      <c r="G20" s="120"/>
      <c r="H20" s="120"/>
      <c r="I20" s="120"/>
      <c r="J20" s="120"/>
      <c r="K20" s="120"/>
      <c r="L20" s="120"/>
    </row>
    <row r="21" spans="1:12" ht="28.5" customHeight="1" x14ac:dyDescent="0.25">
      <c r="A21" s="130" t="s">
        <v>355</v>
      </c>
      <c r="B21" s="131">
        <f>C8</f>
        <v>100000</v>
      </c>
      <c r="C21" s="124" t="s">
        <v>356</v>
      </c>
      <c r="D21" s="120"/>
      <c r="E21" s="132" t="s">
        <v>357</v>
      </c>
      <c r="F21" s="140" t="s">
        <v>358</v>
      </c>
      <c r="G21" s="132" t="s">
        <v>359</v>
      </c>
      <c r="H21" s="132" t="s">
        <v>360</v>
      </c>
      <c r="I21" s="132" t="s">
        <v>361</v>
      </c>
      <c r="J21" s="132" t="s">
        <v>362</v>
      </c>
      <c r="K21" s="132" t="s">
        <v>363</v>
      </c>
      <c r="L21" s="132" t="s">
        <v>364</v>
      </c>
    </row>
    <row r="22" spans="1:12" ht="30" x14ac:dyDescent="0.25">
      <c r="A22" s="130" t="s">
        <v>270</v>
      </c>
      <c r="B22" s="126" t="str">
        <f>C7</f>
        <v>USD</v>
      </c>
      <c r="C22" s="124" t="s">
        <v>365</v>
      </c>
      <c r="D22" s="120"/>
      <c r="E22" s="133">
        <v>-0.15</v>
      </c>
      <c r="F22" s="134">
        <f t="shared" ref="F22:F29" si="0">$B$23*(1+E22)</f>
        <v>2.2524999999999999</v>
      </c>
      <c r="G22" s="134">
        <f t="shared" ref="G22:G29" si="1">$B$21*(F22-$B$23)</f>
        <v>-39750</v>
      </c>
      <c r="H22" s="134">
        <f t="shared" ref="H22:H29" si="2">($B$21*0)*$B$26+($B$21*(1-0))*F22-($B$21*$B$23)</f>
        <v>-39750</v>
      </c>
      <c r="I22" s="134">
        <f t="shared" ref="I22:I29" si="3">($B$21*0.5)*$B$26+($B$21*(1-0.5))*F22-($B$21*$B$23)</f>
        <v>-14875</v>
      </c>
      <c r="J22" s="134">
        <f t="shared" ref="J22:J29" si="4">($B$21*0.8)*$B$26+($B$21*(1-0.8))*F22-($B$21*$B$23)</f>
        <v>50</v>
      </c>
      <c r="K22" s="134">
        <f t="shared" ref="K22:K29" si="5">($B$21*1)*$B$26+($B$21*(1-1))*F22-($B$21*$B$23)</f>
        <v>10000</v>
      </c>
      <c r="L22" s="124" t="str">
        <f t="shared" ref="L22:L29" si="6">IF(G22&lt;0,"Loss if unჰეჯირებაd","Gain if unჰეჯირებაd")</f>
        <v>Loss if unჰეჯირებაd</v>
      </c>
    </row>
    <row r="23" spans="1:12" ht="28.5" customHeight="1" x14ac:dyDescent="0.25">
      <c r="A23" s="130" t="s">
        <v>366</v>
      </c>
      <c r="B23" s="135">
        <v>2.65</v>
      </c>
      <c r="C23" s="124" t="s">
        <v>367</v>
      </c>
      <c r="D23" s="120"/>
      <c r="E23" s="133">
        <v>-0.1</v>
      </c>
      <c r="F23" s="134">
        <f t="shared" si="0"/>
        <v>2.3849999999999998</v>
      </c>
      <c r="G23" s="134">
        <f t="shared" si="1"/>
        <v>-26500.000000000011</v>
      </c>
      <c r="H23" s="134">
        <f t="shared" si="2"/>
        <v>-26500.000000000029</v>
      </c>
      <c r="I23" s="134">
        <f t="shared" si="3"/>
        <v>-8250</v>
      </c>
      <c r="J23" s="134">
        <f t="shared" si="4"/>
        <v>2700</v>
      </c>
      <c r="K23" s="134">
        <f t="shared" si="5"/>
        <v>10000</v>
      </c>
      <c r="L23" s="124" t="str">
        <f t="shared" si="6"/>
        <v>Loss if unჰეჯირებაd</v>
      </c>
    </row>
    <row r="24" spans="1:12" ht="28.5" customHeight="1" x14ac:dyDescent="0.25">
      <c r="A24" s="130" t="s">
        <v>368</v>
      </c>
      <c r="B24" s="136">
        <v>0.1</v>
      </c>
      <c r="C24" s="124" t="s">
        <v>369</v>
      </c>
      <c r="D24" s="120"/>
      <c r="E24" s="133">
        <v>-0.05</v>
      </c>
      <c r="F24" s="134">
        <f t="shared" si="0"/>
        <v>2.5174999999999996</v>
      </c>
      <c r="G24" s="134">
        <f t="shared" si="1"/>
        <v>-13250.000000000029</v>
      </c>
      <c r="H24" s="134">
        <f t="shared" si="2"/>
        <v>-13250.000000000029</v>
      </c>
      <c r="I24" s="134">
        <f t="shared" si="3"/>
        <v>-1625</v>
      </c>
      <c r="J24" s="134">
        <f t="shared" si="4"/>
        <v>5350</v>
      </c>
      <c r="K24" s="134">
        <f t="shared" si="5"/>
        <v>10000</v>
      </c>
      <c r="L24" s="124" t="str">
        <f t="shared" si="6"/>
        <v>Loss if unჰეჯირებაd</v>
      </c>
    </row>
    <row r="25" spans="1:12" ht="42.75" customHeight="1" x14ac:dyDescent="0.25">
      <c r="A25" s="130" t="s">
        <v>370</v>
      </c>
      <c r="B25" s="137">
        <f>B23*(1+B24)</f>
        <v>2.915</v>
      </c>
      <c r="C25" s="124" t="s">
        <v>371</v>
      </c>
      <c r="D25" s="120"/>
      <c r="E25" s="133">
        <v>0</v>
      </c>
      <c r="F25" s="134">
        <f t="shared" si="0"/>
        <v>2.65</v>
      </c>
      <c r="G25" s="134">
        <f t="shared" si="1"/>
        <v>0</v>
      </c>
      <c r="H25" s="134">
        <f t="shared" si="2"/>
        <v>0</v>
      </c>
      <c r="I25" s="134">
        <f t="shared" si="3"/>
        <v>5000</v>
      </c>
      <c r="J25" s="134">
        <f t="shared" si="4"/>
        <v>8000</v>
      </c>
      <c r="K25" s="134">
        <f t="shared" si="5"/>
        <v>10000</v>
      </c>
      <c r="L25" s="124" t="str">
        <f t="shared" si="6"/>
        <v>Gain if unჰეჯირებაd</v>
      </c>
    </row>
    <row r="26" spans="1:12" ht="42.75" customHeight="1" x14ac:dyDescent="0.25">
      <c r="A26" s="130" t="s">
        <v>372</v>
      </c>
      <c r="B26" s="135">
        <v>2.75</v>
      </c>
      <c r="C26" s="124" t="s">
        <v>373</v>
      </c>
      <c r="D26" s="120"/>
      <c r="E26" s="133">
        <v>0.05</v>
      </c>
      <c r="F26" s="134">
        <f t="shared" si="0"/>
        <v>2.7825000000000002</v>
      </c>
      <c r="G26" s="134">
        <f t="shared" si="1"/>
        <v>13250.000000000029</v>
      </c>
      <c r="H26" s="134">
        <f t="shared" si="2"/>
        <v>13250</v>
      </c>
      <c r="I26" s="134">
        <f t="shared" si="3"/>
        <v>11625</v>
      </c>
      <c r="J26" s="134">
        <f t="shared" si="4"/>
        <v>10650</v>
      </c>
      <c r="K26" s="134">
        <f t="shared" si="5"/>
        <v>10000</v>
      </c>
      <c r="L26" s="124" t="str">
        <f t="shared" si="6"/>
        <v>Gain if unჰეჯირებაd</v>
      </c>
    </row>
    <row r="27" spans="1:12" ht="28.5" customHeight="1" x14ac:dyDescent="0.25">
      <c r="A27" s="130" t="s">
        <v>374</v>
      </c>
      <c r="B27" s="136">
        <f>H8</f>
        <v>0.8</v>
      </c>
      <c r="C27" s="124" t="s">
        <v>375</v>
      </c>
      <c r="D27" s="120"/>
      <c r="E27" s="133">
        <v>0.1</v>
      </c>
      <c r="F27" s="134">
        <f t="shared" si="0"/>
        <v>2.915</v>
      </c>
      <c r="G27" s="134">
        <f t="shared" si="1"/>
        <v>26500.000000000011</v>
      </c>
      <c r="H27" s="134">
        <f t="shared" si="2"/>
        <v>26500</v>
      </c>
      <c r="I27" s="134">
        <f t="shared" si="3"/>
        <v>18250</v>
      </c>
      <c r="J27" s="134">
        <f t="shared" si="4"/>
        <v>13300</v>
      </c>
      <c r="K27" s="134">
        <f t="shared" si="5"/>
        <v>10000</v>
      </c>
      <c r="L27" s="124" t="str">
        <f t="shared" si="6"/>
        <v>Gain if unჰეჯირებაd</v>
      </c>
    </row>
    <row r="28" spans="1:12" ht="28.5" customHeight="1" x14ac:dyDescent="0.25">
      <c r="A28" s="130" t="s">
        <v>376</v>
      </c>
      <c r="B28" s="131">
        <f>B21*B27</f>
        <v>80000</v>
      </c>
      <c r="C28" s="124" t="s">
        <v>377</v>
      </c>
      <c r="D28" s="120"/>
      <c r="E28" s="133">
        <v>0.15</v>
      </c>
      <c r="F28" s="134">
        <f t="shared" si="0"/>
        <v>3.0474999999999999</v>
      </c>
      <c r="G28" s="134">
        <f t="shared" si="1"/>
        <v>39750</v>
      </c>
      <c r="H28" s="134">
        <f t="shared" si="2"/>
        <v>39750</v>
      </c>
      <c r="I28" s="134">
        <f t="shared" si="3"/>
        <v>24875</v>
      </c>
      <c r="J28" s="134">
        <f t="shared" si="4"/>
        <v>15950</v>
      </c>
      <c r="K28" s="134">
        <f t="shared" si="5"/>
        <v>10000</v>
      </c>
      <c r="L28" s="124" t="str">
        <f t="shared" si="6"/>
        <v>Gain if unჰეჯირებაd</v>
      </c>
    </row>
    <row r="29" spans="1:12" ht="42.75" customHeight="1" x14ac:dyDescent="0.25">
      <c r="A29" s="130" t="s">
        <v>378</v>
      </c>
      <c r="B29" s="131">
        <f>B21-B28</f>
        <v>20000</v>
      </c>
      <c r="C29" s="124" t="s">
        <v>379</v>
      </c>
      <c r="D29" s="120"/>
      <c r="E29" s="133">
        <v>0.2</v>
      </c>
      <c r="F29" s="134">
        <f t="shared" si="0"/>
        <v>3.1799999999999997</v>
      </c>
      <c r="G29" s="134">
        <f t="shared" si="1"/>
        <v>52999.999999999978</v>
      </c>
      <c r="H29" s="134">
        <f t="shared" si="2"/>
        <v>53000</v>
      </c>
      <c r="I29" s="134">
        <f t="shared" si="3"/>
        <v>31500</v>
      </c>
      <c r="J29" s="134">
        <f t="shared" si="4"/>
        <v>18600</v>
      </c>
      <c r="K29" s="134">
        <f t="shared" si="5"/>
        <v>10000</v>
      </c>
      <c r="L29" s="124" t="str">
        <f t="shared" si="6"/>
        <v>Gain if unჰეჯირებაd</v>
      </c>
    </row>
    <row r="30" spans="1:12" ht="28.5" customHeight="1" x14ac:dyDescent="0.25">
      <c r="A30" s="130" t="s">
        <v>380</v>
      </c>
      <c r="B30" s="131">
        <f>B21*(B25-B23)</f>
        <v>26500.000000000011</v>
      </c>
      <c r="C30" s="124" t="s">
        <v>381</v>
      </c>
      <c r="D30" s="120"/>
      <c r="E30" s="120"/>
      <c r="F30" s="120"/>
      <c r="G30" s="120"/>
      <c r="H30" s="120"/>
      <c r="I30" s="120"/>
      <c r="J30" s="120"/>
      <c r="K30" s="120"/>
      <c r="L30" s="120"/>
    </row>
    <row r="31" spans="1:12" ht="28.5" customHeight="1" x14ac:dyDescent="0.25">
      <c r="A31" s="130" t="s">
        <v>382</v>
      </c>
      <c r="B31" s="131">
        <f>B28*B26+B29*B25</f>
        <v>278300</v>
      </c>
      <c r="C31" s="124" t="s">
        <v>383</v>
      </c>
      <c r="D31" s="120"/>
      <c r="E31" s="120"/>
      <c r="F31" s="120"/>
      <c r="G31" s="120"/>
      <c r="H31" s="120"/>
      <c r="I31" s="120"/>
      <c r="J31" s="120"/>
      <c r="K31" s="120"/>
      <c r="L31" s="120"/>
    </row>
    <row r="32" spans="1:12" ht="28.5" customHeight="1" x14ac:dyDescent="0.25">
      <c r="A32" s="130" t="s">
        <v>384</v>
      </c>
      <c r="B32" s="131">
        <f>B21*B25</f>
        <v>291500</v>
      </c>
      <c r="C32" s="124" t="s">
        <v>385</v>
      </c>
      <c r="D32" s="120"/>
      <c r="E32" s="120"/>
      <c r="F32" s="120"/>
      <c r="G32" s="120"/>
      <c r="H32" s="120"/>
      <c r="I32" s="120"/>
      <c r="J32" s="120"/>
      <c r="K32" s="120"/>
      <c r="L32" s="120"/>
    </row>
    <row r="33" spans="1:12" ht="28.5" customHeight="1" x14ac:dyDescent="0.25">
      <c r="A33" s="147" t="s">
        <v>386</v>
      </c>
      <c r="B33" s="131">
        <f>B31-B32</f>
        <v>-13200</v>
      </c>
      <c r="C33" s="124" t="s">
        <v>387</v>
      </c>
      <c r="D33" s="120"/>
      <c r="E33" s="120"/>
      <c r="F33" s="120"/>
      <c r="G33" s="120"/>
      <c r="H33" s="120"/>
      <c r="I33" s="120"/>
      <c r="J33" s="120"/>
      <c r="K33" s="120"/>
      <c r="L33" s="120"/>
    </row>
    <row r="34" spans="1:12" ht="28.5" customHeight="1" x14ac:dyDescent="0.25">
      <c r="A34" s="147" t="s">
        <v>388</v>
      </c>
      <c r="B34" s="131">
        <f>B31-(B21*B23)</f>
        <v>13300</v>
      </c>
      <c r="C34" s="124" t="s">
        <v>389</v>
      </c>
      <c r="D34" s="120"/>
      <c r="E34" s="120"/>
      <c r="F34" s="120"/>
      <c r="G34" s="120"/>
      <c r="H34" s="120"/>
      <c r="I34" s="120"/>
      <c r="J34" s="120"/>
      <c r="K34" s="120"/>
      <c r="L34" s="120"/>
    </row>
    <row r="35" spans="1:12" ht="28.5" customHeight="1" x14ac:dyDescent="0.25">
      <c r="A35" s="130" t="s">
        <v>390</v>
      </c>
      <c r="B35" s="126" t="str">
        <f>IF(B30&lt;0,"Unჰეჯირებაd loss: "&amp;TEXT(-B30,"#,##0.00")&amp;" GEL","Unჰეჯირებაd gain: "&amp;TEXT(B30,"#,##0.00")&amp;" GEL")</f>
        <v>Unჰეჯირებაd gain: 26,500.00 GEL</v>
      </c>
      <c r="C35" s="124" t="s">
        <v>391</v>
      </c>
      <c r="D35" s="120"/>
      <c r="E35" s="120"/>
      <c r="F35" s="120"/>
      <c r="G35" s="120"/>
      <c r="H35" s="120"/>
      <c r="I35" s="120"/>
      <c r="J35" s="120"/>
      <c r="K35" s="120"/>
      <c r="L35" s="120"/>
    </row>
    <row r="36" spans="1:12" x14ac:dyDescent="0.25">
      <c r="A36" s="120"/>
      <c r="B36" s="120"/>
      <c r="C36" s="120"/>
      <c r="D36" s="120"/>
      <c r="E36" s="120"/>
      <c r="F36" s="120"/>
      <c r="G36" s="120"/>
      <c r="H36" s="120"/>
      <c r="I36" s="120"/>
      <c r="J36" s="120"/>
      <c r="K36" s="120"/>
      <c r="L36" s="120"/>
    </row>
    <row r="37" spans="1:12" x14ac:dyDescent="0.25">
      <c r="A37" s="120"/>
      <c r="B37" s="120"/>
      <c r="C37" s="120"/>
      <c r="D37" s="120"/>
      <c r="E37" s="120"/>
      <c r="F37" s="120"/>
      <c r="G37" s="120"/>
      <c r="H37" s="120"/>
      <c r="I37" s="120"/>
      <c r="J37" s="120"/>
      <c r="K37" s="120"/>
      <c r="L37" s="120"/>
    </row>
    <row r="38" spans="1:12" x14ac:dyDescent="0.25">
      <c r="A38" s="120"/>
      <c r="B38" s="120"/>
      <c r="C38" s="120"/>
      <c r="D38" s="120"/>
      <c r="E38" s="120"/>
      <c r="F38" s="120"/>
      <c r="G38" s="120"/>
      <c r="H38" s="120"/>
      <c r="I38" s="120"/>
      <c r="J38" s="120"/>
      <c r="K38" s="120"/>
      <c r="L38" s="120"/>
    </row>
    <row r="39" spans="1:12" ht="33.75" customHeight="1" x14ac:dyDescent="0.25">
      <c r="A39" s="160" t="s">
        <v>392</v>
      </c>
      <c r="B39" s="155"/>
      <c r="C39" s="155"/>
      <c r="D39" s="155"/>
      <c r="E39" s="129" t="s">
        <v>393</v>
      </c>
      <c r="F39" s="120"/>
      <c r="G39" s="120"/>
      <c r="H39" s="120"/>
      <c r="I39" s="120"/>
      <c r="J39" s="120"/>
      <c r="K39" s="120"/>
      <c r="L39" s="120"/>
    </row>
    <row r="40" spans="1:12" ht="28.5" customHeight="1" x14ac:dyDescent="0.25">
      <c r="A40" s="147" t="s">
        <v>394</v>
      </c>
      <c r="B40" s="127">
        <v>500000</v>
      </c>
      <c r="C40" s="124" t="s">
        <v>395</v>
      </c>
      <c r="D40" s="120"/>
      <c r="E40" s="138" t="s">
        <v>17</v>
      </c>
      <c r="F40" s="138" t="s">
        <v>396</v>
      </c>
      <c r="G40" s="138" t="s">
        <v>397</v>
      </c>
      <c r="H40" s="120"/>
      <c r="I40" s="120"/>
      <c r="J40" s="120"/>
      <c r="K40" s="120"/>
      <c r="L40" s="120"/>
    </row>
    <row r="41" spans="1:12" ht="28.5" customHeight="1" x14ac:dyDescent="0.25">
      <c r="A41" s="147" t="s">
        <v>398</v>
      </c>
      <c r="B41" s="139">
        <v>0.14000000000000001</v>
      </c>
      <c r="C41" s="124" t="s">
        <v>399</v>
      </c>
      <c r="D41" s="120"/>
      <c r="E41" s="130" t="s">
        <v>242</v>
      </c>
      <c r="F41" s="141" t="s">
        <v>400</v>
      </c>
      <c r="G41" s="141" t="s">
        <v>401</v>
      </c>
      <c r="H41" s="120"/>
      <c r="I41" s="120"/>
      <c r="J41" s="120"/>
      <c r="K41" s="120"/>
      <c r="L41" s="120"/>
    </row>
    <row r="42" spans="1:12" ht="28.5" customHeight="1" x14ac:dyDescent="0.25">
      <c r="A42" s="147" t="s">
        <v>402</v>
      </c>
      <c r="B42" s="125">
        <v>200</v>
      </c>
      <c r="C42" s="124" t="s">
        <v>403</v>
      </c>
      <c r="D42" s="120"/>
      <c r="E42" s="130" t="s">
        <v>404</v>
      </c>
      <c r="F42" s="141" t="s">
        <v>405</v>
      </c>
      <c r="G42" s="141" t="s">
        <v>406</v>
      </c>
      <c r="H42" s="120"/>
      <c r="I42" s="120"/>
      <c r="J42" s="120"/>
      <c r="K42" s="120"/>
      <c r="L42" s="120"/>
    </row>
    <row r="43" spans="1:12" ht="28.5" customHeight="1" x14ac:dyDescent="0.25">
      <c r="A43" s="147" t="s">
        <v>407</v>
      </c>
      <c r="B43" s="127">
        <v>3</v>
      </c>
      <c r="C43" s="124" t="s">
        <v>408</v>
      </c>
      <c r="D43" s="120"/>
      <c r="E43" s="130" t="s">
        <v>409</v>
      </c>
      <c r="F43" s="141" t="s">
        <v>410</v>
      </c>
      <c r="G43" s="141" t="s">
        <v>411</v>
      </c>
      <c r="H43" s="120"/>
      <c r="I43" s="120"/>
      <c r="J43" s="120"/>
      <c r="K43" s="120"/>
      <c r="L43" s="120"/>
    </row>
    <row r="44" spans="1:12" ht="28.5" customHeight="1" x14ac:dyDescent="0.25">
      <c r="A44" s="147" t="s">
        <v>412</v>
      </c>
      <c r="B44" s="131">
        <f>B40*B41</f>
        <v>70000</v>
      </c>
      <c r="C44" s="124" t="s">
        <v>413</v>
      </c>
      <c r="D44" s="120"/>
      <c r="E44" s="130" t="s">
        <v>414</v>
      </c>
      <c r="F44" s="141" t="s">
        <v>415</v>
      </c>
      <c r="G44" s="141" t="s">
        <v>416</v>
      </c>
      <c r="H44" s="120"/>
      <c r="I44" s="120"/>
      <c r="J44" s="120"/>
      <c r="K44" s="120"/>
      <c r="L44" s="120"/>
    </row>
    <row r="45" spans="1:12" ht="28.5" customHeight="1" x14ac:dyDescent="0.25">
      <c r="A45" s="147" t="s">
        <v>417</v>
      </c>
      <c r="B45" s="131">
        <f>B40*(B41+B42/10000)</f>
        <v>80000</v>
      </c>
      <c r="C45" s="124" t="s">
        <v>418</v>
      </c>
      <c r="D45" s="120"/>
      <c r="E45" s="130" t="s">
        <v>419</v>
      </c>
      <c r="F45" s="141" t="s">
        <v>420</v>
      </c>
      <c r="G45" s="141" t="s">
        <v>421</v>
      </c>
      <c r="H45" s="120"/>
      <c r="I45" s="120"/>
      <c r="J45" s="120"/>
      <c r="K45" s="120"/>
      <c r="L45" s="120"/>
    </row>
    <row r="46" spans="1:12" ht="28.5" customHeight="1" x14ac:dyDescent="0.25">
      <c r="A46" s="147" t="s">
        <v>422</v>
      </c>
      <c r="B46" s="131">
        <f>B44-B43</f>
        <v>69997</v>
      </c>
      <c r="C46" s="124" t="s">
        <v>423</v>
      </c>
      <c r="D46" s="120"/>
      <c r="E46" s="120"/>
      <c r="F46" s="120"/>
      <c r="G46" s="120"/>
      <c r="H46" s="120"/>
      <c r="I46" s="120"/>
      <c r="J46" s="120"/>
      <c r="K46" s="120"/>
      <c r="L46" s="120"/>
    </row>
    <row r="47" spans="1:12" ht="28.5" customHeight="1" x14ac:dyDescent="0.25">
      <c r="A47" s="147" t="s">
        <v>424</v>
      </c>
      <c r="B47" s="131">
        <f>B45*B43</f>
        <v>240000</v>
      </c>
      <c r="C47" s="141" t="s">
        <v>425</v>
      </c>
      <c r="D47" s="120"/>
      <c r="E47" s="120"/>
      <c r="F47" s="120"/>
      <c r="G47" s="120"/>
      <c r="H47" s="120"/>
      <c r="I47" s="120"/>
      <c r="J47" s="120"/>
      <c r="K47" s="120"/>
      <c r="L47" s="120"/>
    </row>
    <row r="48" spans="1:12" ht="28.5" customHeight="1" x14ac:dyDescent="0.25">
      <c r="A48" s="130" t="s">
        <v>426</v>
      </c>
      <c r="B48" s="126" t="str">
        <f>IF(B45&gt;0.05*B40,"Yes - stress is material",IF(B45&gt;0.02*B40,"Consider partial ჰეჯირება / fixed-განაკვეთი რეფინანსირება","Monitor"))</f>
        <v>Yes - stress is material</v>
      </c>
      <c r="C48" s="124" t="s">
        <v>427</v>
      </c>
      <c r="D48" s="120"/>
      <c r="E48" s="120"/>
      <c r="F48" s="120"/>
      <c r="G48" s="120"/>
      <c r="H48" s="120"/>
      <c r="I48" s="120"/>
      <c r="J48" s="120"/>
      <c r="K48" s="120"/>
      <c r="L48" s="120"/>
    </row>
    <row r="49" spans="1:12" x14ac:dyDescent="0.25">
      <c r="A49" s="120"/>
      <c r="B49" s="120"/>
      <c r="C49" s="120"/>
      <c r="D49" s="120"/>
      <c r="E49" s="120"/>
      <c r="F49" s="120"/>
      <c r="G49" s="120"/>
      <c r="H49" s="120"/>
      <c r="I49" s="120"/>
      <c r="J49" s="120"/>
      <c r="K49" s="120"/>
      <c r="L49" s="120"/>
    </row>
    <row r="50" spans="1:12" x14ac:dyDescent="0.25">
      <c r="A50" s="120"/>
      <c r="B50" s="120"/>
      <c r="C50" s="120"/>
      <c r="D50" s="120"/>
      <c r="E50" s="120"/>
      <c r="F50" s="120"/>
      <c r="G50" s="120"/>
      <c r="H50" s="120"/>
      <c r="I50" s="120"/>
      <c r="J50" s="120"/>
      <c r="K50" s="120"/>
      <c r="L50" s="120"/>
    </row>
    <row r="51" spans="1:12" ht="33.75" customHeight="1" x14ac:dyDescent="0.25">
      <c r="A51" s="160" t="s">
        <v>428</v>
      </c>
      <c r="B51" s="155"/>
      <c r="C51" s="120"/>
      <c r="D51" s="120"/>
      <c r="E51" s="120"/>
      <c r="F51" s="120"/>
      <c r="G51" s="120"/>
      <c r="H51" s="120"/>
      <c r="I51" s="120"/>
      <c r="J51" s="120"/>
      <c r="K51" s="120"/>
      <c r="L51" s="120"/>
    </row>
    <row r="52" spans="1:12" ht="28.5" customHeight="1" x14ac:dyDescent="0.25">
      <c r="A52" s="147" t="s">
        <v>429</v>
      </c>
      <c r="B52" s="141" t="s">
        <v>430</v>
      </c>
      <c r="C52" s="120"/>
      <c r="D52" s="120"/>
      <c r="E52" s="120"/>
      <c r="F52" s="120"/>
      <c r="G52" s="120"/>
      <c r="H52" s="120"/>
      <c r="I52" s="120"/>
      <c r="J52" s="120"/>
      <c r="K52" s="120"/>
      <c r="L52" s="120"/>
    </row>
    <row r="53" spans="1:12" ht="42.75" customHeight="1" x14ac:dyDescent="0.25">
      <c r="A53" s="147" t="s">
        <v>431</v>
      </c>
      <c r="B53" s="141" t="s">
        <v>432</v>
      </c>
      <c r="C53" s="120"/>
      <c r="D53" s="120"/>
      <c r="E53" s="120"/>
      <c r="F53" s="120"/>
      <c r="G53" s="120"/>
      <c r="H53" s="120"/>
      <c r="I53" s="120"/>
      <c r="J53" s="120"/>
      <c r="K53" s="120"/>
      <c r="L53" s="120"/>
    </row>
    <row r="54" spans="1:12" ht="42.75" customHeight="1" x14ac:dyDescent="0.25">
      <c r="A54" s="147" t="s">
        <v>433</v>
      </c>
      <c r="B54" s="141" t="s">
        <v>434</v>
      </c>
      <c r="C54" s="120"/>
      <c r="D54" s="120"/>
      <c r="E54" s="120"/>
      <c r="F54" s="120"/>
      <c r="G54" s="120"/>
      <c r="H54" s="120"/>
      <c r="I54" s="120"/>
      <c r="J54" s="120"/>
      <c r="K54" s="120"/>
      <c r="L54" s="120"/>
    </row>
    <row r="55" spans="1:12" ht="42.75" customHeight="1" x14ac:dyDescent="0.25">
      <c r="A55" s="147" t="s">
        <v>435</v>
      </c>
      <c r="B55" s="141" t="s">
        <v>436</v>
      </c>
      <c r="C55" s="120"/>
      <c r="D55" s="120"/>
      <c r="E55" s="120"/>
      <c r="F55" s="120"/>
      <c r="G55" s="120"/>
      <c r="H55" s="120"/>
      <c r="I55" s="120"/>
      <c r="J55" s="120"/>
      <c r="K55" s="120"/>
      <c r="L55" s="120"/>
    </row>
    <row r="56" spans="1:12" ht="28.5" customHeight="1" x14ac:dyDescent="0.25">
      <c r="A56" s="147" t="s">
        <v>437</v>
      </c>
      <c r="B56" s="141" t="s">
        <v>438</v>
      </c>
      <c r="C56" s="120"/>
      <c r="D56" s="120"/>
      <c r="E56" s="120"/>
      <c r="F56" s="120"/>
      <c r="G56" s="120"/>
      <c r="H56" s="120"/>
      <c r="I56" s="120"/>
      <c r="J56" s="120"/>
      <c r="K56" s="120"/>
      <c r="L56" s="120"/>
    </row>
    <row r="57" spans="1:12" ht="42.75" customHeight="1" x14ac:dyDescent="0.25">
      <c r="A57" s="147" t="s">
        <v>439</v>
      </c>
      <c r="B57" s="141" t="s">
        <v>440</v>
      </c>
      <c r="C57" s="120"/>
      <c r="D57" s="120"/>
      <c r="E57" s="120"/>
      <c r="F57" s="120"/>
      <c r="G57" s="120"/>
      <c r="H57" s="120"/>
      <c r="I57" s="120"/>
      <c r="J57" s="120"/>
      <c r="K57" s="120"/>
      <c r="L57" s="120"/>
    </row>
    <row r="58" spans="1:12" x14ac:dyDescent="0.25">
      <c r="A58" s="130" t="s">
        <v>441</v>
      </c>
      <c r="B58" s="141" t="s">
        <v>442</v>
      </c>
      <c r="C58" s="120"/>
      <c r="D58" s="120"/>
      <c r="E58" s="120"/>
      <c r="F58" s="120"/>
      <c r="G58" s="120"/>
      <c r="H58" s="120"/>
      <c r="I58" s="120"/>
      <c r="J58" s="120"/>
      <c r="K58" s="120"/>
      <c r="L58" s="120"/>
    </row>
  </sheetData>
  <mergeCells count="6">
    <mergeCell ref="A1:E1"/>
    <mergeCell ref="G4:H4"/>
    <mergeCell ref="A2:E2"/>
    <mergeCell ref="A51:B51"/>
    <mergeCell ref="A20:D20"/>
    <mergeCell ref="A39:D39"/>
  </mergeCells>
  <dataValidations count="6">
    <dataValidation type="list" sqref="C5 C14 C16" xr:uid="{00000000-0002-0000-0300-000000000000}">
      <formula1>"დიახ,არა"</formula1>
    </dataValidation>
    <dataValidation type="list" sqref="C6" xr:uid="{00000000-0002-0000-0300-000001000000}">
      <formula1>"ექსპორტიორის დებიტორული დავალიანება,იმპორტიორის კრედიტორული დავალიანება,სავალუტო სესხი,სავალუტო ნაღდი ფული,შერეული"</formula1>
    </dataValidation>
    <dataValidation type="list" sqref="C7" xr:uid="{00000000-0002-0000-0300-000002000000}">
      <formula1>"USD,EUR,TRY,სხვა"</formula1>
    </dataValidation>
    <dataValidation type="list" sqref="C10:C11" xr:uid="{00000000-0002-0000-0300-000003000000}">
      <formula1>"დიახ,არა,ნაწილობრივ"</formula1>
    </dataValidation>
    <dataValidation type="list" sqref="C12" xr:uid="{00000000-0002-0000-0300-000004000000}">
      <formula1>"დიახ,არა,ნაწილობრივი"</formula1>
    </dataValidation>
    <dataValidation type="list" sqref="C13 C15" xr:uid="{00000000-0002-0000-0300-000005000000}">
      <formula1>"დიახ,არა,უცნობია"</formula1>
    </dataValidation>
  </dataValidations>
  <pageMargins left="0.75" right="0.75" top="1" bottom="1" header="0.5" footer="0.5"/>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5"/>
  <sheetViews>
    <sheetView showGridLines="0" workbookViewId="0">
      <selection activeCell="H6" sqref="H6"/>
    </sheetView>
  </sheetViews>
  <sheetFormatPr defaultRowHeight="15" x14ac:dyDescent="0.25"/>
  <cols>
    <col min="1" max="1" width="15.140625" customWidth="1"/>
    <col min="2" max="2" width="33.140625" customWidth="1"/>
    <col min="3" max="3" width="17.7109375" customWidth="1"/>
    <col min="4" max="4" width="35.7109375" customWidth="1"/>
    <col min="5" max="5" width="42.7109375" customWidth="1"/>
    <col min="6" max="6" width="3" customWidth="1"/>
    <col min="7" max="7" width="34" customWidth="1"/>
    <col min="8" max="8" width="36" customWidth="1"/>
    <col min="9" max="9" width="3" customWidth="1"/>
    <col min="10" max="10" width="36" customWidth="1"/>
    <col min="11" max="11" width="16" customWidth="1"/>
    <col min="12" max="13" width="18" customWidth="1"/>
  </cols>
  <sheetData>
    <row r="1" spans="1:11" ht="19.5" customHeight="1" x14ac:dyDescent="0.3">
      <c r="A1" s="176" t="s">
        <v>443</v>
      </c>
      <c r="B1" s="155"/>
      <c r="C1" s="155"/>
      <c r="D1" s="155"/>
      <c r="E1" s="155"/>
    </row>
    <row r="2" spans="1:11" ht="28.5" customHeight="1" x14ac:dyDescent="0.25">
      <c r="A2" s="174" t="s">
        <v>444</v>
      </c>
      <c r="B2" s="155"/>
      <c r="C2" s="155"/>
      <c r="D2" s="155"/>
      <c r="E2" s="155"/>
    </row>
    <row r="4" spans="1:11" x14ac:dyDescent="0.25">
      <c r="A4" s="69" t="s">
        <v>2</v>
      </c>
      <c r="B4" s="69" t="s">
        <v>3</v>
      </c>
      <c r="C4" s="69" t="s">
        <v>4</v>
      </c>
      <c r="D4" s="69" t="s">
        <v>5</v>
      </c>
      <c r="E4" s="69" t="s">
        <v>6</v>
      </c>
      <c r="G4" s="173" t="s">
        <v>445</v>
      </c>
      <c r="H4" s="155"/>
      <c r="J4" s="70" t="s">
        <v>316</v>
      </c>
      <c r="K4" s="70" t="s">
        <v>317</v>
      </c>
    </row>
    <row r="5" spans="1:11" ht="28.5" customHeight="1" x14ac:dyDescent="0.25">
      <c r="A5" s="84">
        <v>1</v>
      </c>
      <c r="B5" s="85" t="s">
        <v>65</v>
      </c>
      <c r="C5" s="77" t="s">
        <v>10</v>
      </c>
      <c r="D5" s="85" t="s">
        <v>11</v>
      </c>
      <c r="E5" s="85" t="s">
        <v>446</v>
      </c>
      <c r="G5" s="88" t="s">
        <v>447</v>
      </c>
      <c r="H5" s="89">
        <f>SUM(K5:K19)</f>
        <v>17</v>
      </c>
      <c r="I5" s="90"/>
      <c r="J5" s="85" t="s">
        <v>65</v>
      </c>
      <c r="K5" s="84">
        <f>IF(C5="დიახ",2,-3)</f>
        <v>2</v>
      </c>
    </row>
    <row r="6" spans="1:11" ht="47.65" customHeight="1" x14ac:dyDescent="0.25">
      <c r="A6" s="84">
        <v>2</v>
      </c>
      <c r="B6" s="85" t="s">
        <v>448</v>
      </c>
      <c r="C6" s="77" t="s">
        <v>10</v>
      </c>
      <c r="D6" s="85" t="s">
        <v>449</v>
      </c>
      <c r="E6" s="85" t="s">
        <v>450</v>
      </c>
      <c r="G6" s="88" t="s">
        <v>13</v>
      </c>
      <c r="H6" s="91" t="str">
        <f>IF(C18="დიახ","ფაქტორინგი არ არის - გამოიყენეთ საბრუნავი კაპიტალის სესხი / საკრედიტო ხაზი",IF(OR(C5="არა",C8="დიახ"),"ფაქტორინგისთვის შესაფერისი არ არის",IF(AND(C12="დიახ",C13="დიახ",OR(C14="დიახ",C14="უცნობია")),"რევერსიული ფაქტორინგი / მიწოდების ჯაჭვის დაფინანსება",IF(AND(C5="დიახ",C7="დიახ",C11="დიახ",C16="დიახ"),"ფაქტორინგი რეგრესის უფლების გარეშე",IF(AND(C5="დიახ",C11="დიახ"),"ფაქტორინგი რეგრესის უფლებით",IF(AND(C5="დიახ",C19="დიახ"),"ექსპორტის / იმპორტის ფაქტორინგი",IF(H5&gt;=6,"ფაქტორინგი შეიძლება შესაფერისი იყოს","სტანდარტული სესხი ან საკრედიტო ხაზი შეიძლება უკეთ შეესაბამებოდეს")))))))</f>
        <v>ფაქტორინგი რეგრესის უფლების გარეშე</v>
      </c>
      <c r="I6" s="90"/>
      <c r="J6" s="85" t="s">
        <v>448</v>
      </c>
      <c r="K6" s="84">
        <f>IF(C6="დიახ",2,IF(C6="გაურკვეველია",0,-2))</f>
        <v>2</v>
      </c>
    </row>
    <row r="7" spans="1:11" ht="75" customHeight="1" x14ac:dyDescent="0.25">
      <c r="A7" s="84">
        <v>3</v>
      </c>
      <c r="B7" s="85" t="s">
        <v>451</v>
      </c>
      <c r="C7" s="77" t="s">
        <v>10</v>
      </c>
      <c r="D7" s="85" t="s">
        <v>449</v>
      </c>
      <c r="E7" s="85" t="s">
        <v>452</v>
      </c>
      <c r="G7" s="88" t="s">
        <v>453</v>
      </c>
      <c r="H7" s="89" t="str">
        <f>IF(H6="რევერსიული ფაქტორინგი / მიწოდების ჯაჭვის დაფინანსება","არსებობს მყიდველის მიერ წარმართული დამტკიცებული კრედიტორული დავალიანება; მიმწოდებელს შეუძლია თანხა ადრე მიიღოს, ხოლო მყიდველი მოგვიანებით გადაიხდის.",IF(H6="ფაქტორინგი რეგრესის უფლების გარეშე","არსებობს ფორმალური დებიტორული დავალიანება და სანდო მყიდველი, ხოლო ფაქტორმა შეიძლება მყიდველის საკრედიტო რისკი აიღოს.",IF(H6="ფაქტორინგი რეგრესის უფლებით","ფორმალური დებიტორული დავალიანება არსებობს, მაგრამ მიმწოდებელი სავარაუდოდ ინარჩუნებს მყიდველის არგადახდის რისკს.",IF(H6="ექსპორტის / იმპორტის ფაქტორინგი","ტრანსსასაზღვრო მყიდველი ქმნის ექსპორტ/იმპორტის ფაქტორინგის ან ორფაქტორიანი მოდელის შესაძლებლობას.",IF(H6="ფაქტორინგისთვის შესაფერისი არ არის","ვალიდური ინვოისი არ არსებობს ან დებიტორული დავალიანება სადავოა.",IF(H6="ფაქტორინგი არ არის - გამოიყენეთ საბრუნავი კაპიტალის სესხი / საკრედიტო ხაზი","საჭიროება არის ზოგადი საბრუნავი კაპიტალი, რომელიც ინვოისებს არ უკავშირდება.","შერეული ნიშნებია: შეადარეთ ფაქტორინგი სესხს და შეამოწმეთ ინვოისის ხარისხი."))))))</f>
        <v>არსებობს ფორმალური დებიტორული დავალიანება და სანდო მყიდველი, ხოლო ფაქტორმა შეიძლება მყიდველის საკრედიტო რისკი აიღოს.</v>
      </c>
      <c r="I7" s="90"/>
      <c r="J7" s="85" t="s">
        <v>451</v>
      </c>
      <c r="K7" s="84">
        <f>IF(C7="დიახ",2,IF(C7="გაურკვეველია",0,-1))</f>
        <v>2</v>
      </c>
    </row>
    <row r="8" spans="1:11" ht="42.75" customHeight="1" x14ac:dyDescent="0.25">
      <c r="A8" s="84">
        <v>4</v>
      </c>
      <c r="B8" s="85" t="s">
        <v>454</v>
      </c>
      <c r="C8" s="77" t="s">
        <v>55</v>
      </c>
      <c r="D8" s="85" t="s">
        <v>11</v>
      </c>
      <c r="E8" s="85" t="s">
        <v>455</v>
      </c>
      <c r="G8" s="88" t="s">
        <v>456</v>
      </c>
      <c r="H8" s="89" t="str">
        <f>IF(H6="ფაქტორინგი რეგრესის უფლების გარეშე","აღიარების შეწყვეტა შესაძლებელია, თუ IFRS 9-ის მიხედვით არსებითად ყველა რისკი და სარგებელი გადაცემულია.",IF(H6="ფაქტორინგი რეგრესის უფლებით","სავარაუდოდ დაფინანსების ვალდებულებაა, თუ მიმწოდებელი მნიშვნელოვან საკრედიტო რისკს ინარჩუნებს.",IF(H6="რევერსიული ფაქტორინგი / მიწოდების ჯაჭვის დაფინანსება","შეამოწმეთ IAS 7 / IFRS 7-ის მიმწოდებლის დაფინანსების გამჟღავნებები და იცვლება თუ არა კრედიტორული დავალიანების კლასიფიკაცია.","ბუღალტრული აღრიცხვა დამოკიდებულია სამართლებრივ სტრუქტურასა და რისკის გადაცემაზე.")))</f>
        <v>აღიარების შეწყვეტა შესაძლებელია, თუ IFRS 9-ის მიხედვით არსებითად ყველა რისკი და სარგებელი გადაცემულია.</v>
      </c>
      <c r="I8" s="90"/>
      <c r="J8" s="85" t="s">
        <v>454</v>
      </c>
      <c r="K8" s="84">
        <f>IF(C8="დიახ",-5,1)</f>
        <v>1</v>
      </c>
    </row>
    <row r="9" spans="1:11" ht="94.15" customHeight="1" x14ac:dyDescent="0.25">
      <c r="A9" s="84">
        <v>5</v>
      </c>
      <c r="B9" s="92" t="s">
        <v>457</v>
      </c>
      <c r="C9" s="94">
        <v>120</v>
      </c>
      <c r="D9" s="92" t="s">
        <v>45</v>
      </c>
      <c r="E9" s="92" t="s">
        <v>458</v>
      </c>
      <c r="G9" s="88" t="s">
        <v>459</v>
      </c>
      <c r="H9" s="89" t="str">
        <f>IF(H6="ფაქტორინგი რეგრესის უფლების გარეშე","შეიძლება გააუმჯობესოს სესხის დაფარვის კოეფიციენტ, მიმდინარე კოეფიციენტი, ლევერიჯი და ვალი/კაპიტალი, თუ დებიტორული დავალიანების აღიარება შეწყდება.",IF(H6="ფაქტორინგი რეგრესის უფლებით","შეიძლება გააუარესოს ლევერიჯის/ვალის კოეფიციენტები, რადგან მიღებული ავანსი ვალდებულებად აღირიცხება.",IF(H6="რევერსიული ფაქტორინგი / მიწოდების ჯაჭვის დაფინანსება","შეიძლება გავლენა მოახდინოს კრედიტორული დავალიანების წარმოდგენაზე და მოითხოვს მიმწოდებლის დაფინანსების გამჟღავნებებს.","კოეფიციენტები ავტომატურად არ უმჯობესდება.")))</f>
        <v>შეიძლება გააუმჯობესოს სესხის დაფარვის კოეფიციენტ, მიმდინარე კოეფიციენტი, ლევერიჯი და ვალი/კაპიტალი, თუ დებიტორული დავალიანების აღიარება შეწყდება.</v>
      </c>
      <c r="I9" s="90"/>
      <c r="J9" s="85" t="s">
        <v>460</v>
      </c>
      <c r="K9" s="84">
        <f>IF(C9="",0,IF(C9&gt;=60,2,IF(C9&gt;=30,1,0)))</f>
        <v>2</v>
      </c>
    </row>
    <row r="10" spans="1:11" ht="47.65" customHeight="1" x14ac:dyDescent="0.25">
      <c r="A10" s="84">
        <v>6</v>
      </c>
      <c r="B10" s="85" t="s">
        <v>461</v>
      </c>
      <c r="C10" s="77" t="s">
        <v>10</v>
      </c>
      <c r="D10" s="85" t="s">
        <v>11</v>
      </c>
      <c r="E10" s="85" t="s">
        <v>462</v>
      </c>
      <c r="G10" s="88" t="s">
        <v>463</v>
      </c>
      <c r="H10" s="89" t="str">
        <f>IF(C8="დიახ","სადავო ინვოისი: თავიდან აიცილეთ ფაქტორინგი ან ჯერ დავა მოაგვარეთ.",IF(C18="დიახ","საჭიროება ზოგადი საბრუნავი კაპიტალია; გამოიყენეთ საკრედიტო ხაზის/სესხის ლოგიკა.",IF(C16&lt;&gt;"დიახ","თუ ფაქტორი მყიდველის რისკს არ იღებს, ნუ წარმოადგენთ მას ბალანსგარეშე დაფინანსებად.",IF(C12="დიახ","მყიდველის მიერ დამტკიცებული კრედიტორული დავალიანება: განიხილეთ რევერსიული ფაქტორინგის კლასიფიკაცია.","შეამოწმეთ ინვოისის ვალიდურობა, მყიდველის კონცენტრაცია, რეგრესი და ჯამური ხარჯი."))))</f>
        <v>შეამოწმეთ ინვოისის ვალიდურობა, მყიდველის კონცენტრაცია, რეგრესი და ჯამური ხარჯი.</v>
      </c>
      <c r="I10" s="90"/>
      <c r="J10" s="85" t="s">
        <v>461</v>
      </c>
      <c r="K10" s="84">
        <f>IF(C10="დიახ",2,0)</f>
        <v>2</v>
      </c>
    </row>
    <row r="11" spans="1:11" ht="28.5" customHeight="1" x14ac:dyDescent="0.25">
      <c r="A11" s="84">
        <v>7</v>
      </c>
      <c r="B11" s="85" t="s">
        <v>464</v>
      </c>
      <c r="C11" s="77" t="s">
        <v>10</v>
      </c>
      <c r="D11" s="85" t="s">
        <v>11</v>
      </c>
      <c r="E11" s="85" t="s">
        <v>465</v>
      </c>
      <c r="J11" s="85" t="s">
        <v>464</v>
      </c>
      <c r="K11" s="84">
        <f>IF(C11="დიახ",2,0)</f>
        <v>2</v>
      </c>
    </row>
    <row r="12" spans="1:11" ht="28.5" customHeight="1" x14ac:dyDescent="0.25">
      <c r="A12" s="84">
        <v>8</v>
      </c>
      <c r="B12" s="85" t="s">
        <v>180</v>
      </c>
      <c r="C12" s="77" t="s">
        <v>55</v>
      </c>
      <c r="D12" s="85" t="s">
        <v>11</v>
      </c>
      <c r="E12" s="85" t="s">
        <v>466</v>
      </c>
      <c r="J12" s="85" t="s">
        <v>180</v>
      </c>
      <c r="K12" s="84">
        <f>IF(C12="დიახ",1,0)</f>
        <v>0</v>
      </c>
    </row>
    <row r="13" spans="1:11" ht="28.5" customHeight="1" x14ac:dyDescent="0.25">
      <c r="A13" s="84">
        <v>9</v>
      </c>
      <c r="B13" s="85" t="s">
        <v>182</v>
      </c>
      <c r="C13" s="77" t="s">
        <v>10</v>
      </c>
      <c r="D13" s="85" t="s">
        <v>11</v>
      </c>
      <c r="E13" s="85" t="s">
        <v>467</v>
      </c>
      <c r="J13" s="85" t="s">
        <v>182</v>
      </c>
      <c r="K13" s="84">
        <f>IF(C13="დიახ",1,0)</f>
        <v>1</v>
      </c>
    </row>
    <row r="14" spans="1:11" ht="51.75" customHeight="1" x14ac:dyDescent="0.25">
      <c r="A14" s="84">
        <v>10</v>
      </c>
      <c r="B14" s="85" t="s">
        <v>468</v>
      </c>
      <c r="C14" s="77" t="s">
        <v>55</v>
      </c>
      <c r="D14" s="85" t="s">
        <v>144</v>
      </c>
      <c r="E14" s="85" t="s">
        <v>469</v>
      </c>
      <c r="J14" s="85" t="s">
        <v>468</v>
      </c>
      <c r="K14" s="84">
        <f>IF(C14="დიახ",2,IF(C14="უცნობია",1,0))</f>
        <v>0</v>
      </c>
    </row>
    <row r="15" spans="1:11" ht="28.5" customHeight="1" x14ac:dyDescent="0.25">
      <c r="A15" s="84">
        <v>11</v>
      </c>
      <c r="B15" s="85" t="s">
        <v>470</v>
      </c>
      <c r="C15" s="77" t="s">
        <v>55</v>
      </c>
      <c r="D15" s="85" t="s">
        <v>471</v>
      </c>
      <c r="E15" s="85" t="s">
        <v>472</v>
      </c>
      <c r="J15" s="85" t="s">
        <v>470</v>
      </c>
      <c r="K15" s="84">
        <f>IF(C15="დიახ",1,0)</f>
        <v>0</v>
      </c>
    </row>
    <row r="16" spans="1:11" ht="28.5" customHeight="1" x14ac:dyDescent="0.25">
      <c r="A16" s="84">
        <v>12</v>
      </c>
      <c r="B16" s="85" t="s">
        <v>473</v>
      </c>
      <c r="C16" s="77" t="s">
        <v>10</v>
      </c>
      <c r="D16" s="85" t="s">
        <v>144</v>
      </c>
      <c r="E16" s="85" t="s">
        <v>474</v>
      </c>
      <c r="J16" s="85" t="s">
        <v>473</v>
      </c>
      <c r="K16" s="84">
        <f>IF(C16="დიახ",2,IF(C16="უცნობია",0,-1))</f>
        <v>2</v>
      </c>
    </row>
    <row r="17" spans="1:11" ht="49.9" customHeight="1" x14ac:dyDescent="0.25">
      <c r="A17" s="84">
        <v>13</v>
      </c>
      <c r="B17" s="85" t="s">
        <v>475</v>
      </c>
      <c r="C17" s="77" t="s">
        <v>10</v>
      </c>
      <c r="D17" s="85" t="s">
        <v>11</v>
      </c>
      <c r="E17" s="85" t="s">
        <v>476</v>
      </c>
      <c r="J17" s="85" t="s">
        <v>477</v>
      </c>
      <c r="K17" s="84">
        <f>IF(C17="დიახ",1,0)</f>
        <v>1</v>
      </c>
    </row>
    <row r="18" spans="1:11" ht="28.5" customHeight="1" x14ac:dyDescent="0.25">
      <c r="A18" s="84">
        <v>14</v>
      </c>
      <c r="B18" s="85" t="s">
        <v>478</v>
      </c>
      <c r="C18" s="77" t="s">
        <v>55</v>
      </c>
      <c r="D18" s="85" t="s">
        <v>11</v>
      </c>
      <c r="E18" s="85" t="s">
        <v>479</v>
      </c>
      <c r="J18" s="85" t="s">
        <v>478</v>
      </c>
      <c r="K18" s="84">
        <f>IF(C18="დიახ",-4,0)</f>
        <v>0</v>
      </c>
    </row>
    <row r="19" spans="1:11" ht="28.5" customHeight="1" x14ac:dyDescent="0.25">
      <c r="A19" s="84">
        <v>15</v>
      </c>
      <c r="B19" s="86" t="s">
        <v>480</v>
      </c>
      <c r="C19" s="77" t="s">
        <v>55</v>
      </c>
      <c r="D19" s="85" t="s">
        <v>11</v>
      </c>
      <c r="E19" s="86" t="s">
        <v>481</v>
      </c>
      <c r="J19" s="85" t="s">
        <v>480</v>
      </c>
      <c r="K19" s="84">
        <f>IF(C19="დიახ",1,0)</f>
        <v>0</v>
      </c>
    </row>
    <row r="23" spans="1:11" ht="16.899999999999999" customHeight="1" x14ac:dyDescent="0.3">
      <c r="A23" s="177" t="s">
        <v>482</v>
      </c>
      <c r="B23" s="155"/>
      <c r="C23" s="155"/>
      <c r="D23" s="155"/>
      <c r="E23" s="155"/>
    </row>
    <row r="24" spans="1:11" ht="30" x14ac:dyDescent="0.25">
      <c r="A24" s="73" t="s">
        <v>483</v>
      </c>
      <c r="B24" s="78">
        <v>100000</v>
      </c>
      <c r="C24" s="76" t="s">
        <v>484</v>
      </c>
    </row>
    <row r="25" spans="1:11" ht="28.5" customHeight="1" x14ac:dyDescent="0.25">
      <c r="A25" s="73" t="s">
        <v>485</v>
      </c>
      <c r="B25" s="79">
        <v>60</v>
      </c>
      <c r="C25" s="76" t="s">
        <v>486</v>
      </c>
    </row>
    <row r="26" spans="1:11" ht="28.5" customHeight="1" x14ac:dyDescent="0.25">
      <c r="A26" s="73" t="s">
        <v>487</v>
      </c>
      <c r="B26" s="80">
        <v>0.9</v>
      </c>
      <c r="C26" s="76" t="s">
        <v>488</v>
      </c>
    </row>
    <row r="27" spans="1:11" x14ac:dyDescent="0.25">
      <c r="A27" s="83" t="s">
        <v>489</v>
      </c>
      <c r="B27" s="80">
        <v>0.18</v>
      </c>
      <c r="C27" s="76" t="s">
        <v>490</v>
      </c>
    </row>
    <row r="28" spans="1:11" ht="28.5" customHeight="1" x14ac:dyDescent="0.25">
      <c r="A28" s="73" t="s">
        <v>491</v>
      </c>
      <c r="B28" s="80">
        <v>1.4999999999999999E-2</v>
      </c>
      <c r="C28" s="76" t="s">
        <v>492</v>
      </c>
    </row>
    <row r="29" spans="1:11" ht="28.5" customHeight="1" x14ac:dyDescent="0.25">
      <c r="A29" s="73" t="s">
        <v>493</v>
      </c>
      <c r="B29" s="81">
        <f>1-B26</f>
        <v>9.9999999999999978E-2</v>
      </c>
      <c r="C29" s="76" t="s">
        <v>494</v>
      </c>
    </row>
    <row r="30" spans="1:11" ht="28.5" customHeight="1" x14ac:dyDescent="0.25">
      <c r="A30" s="73" t="s">
        <v>495</v>
      </c>
      <c r="B30" s="82">
        <f>B24*B26</f>
        <v>90000</v>
      </c>
      <c r="C30" s="76" t="s">
        <v>496</v>
      </c>
    </row>
    <row r="31" spans="1:11" ht="28.5" customHeight="1" x14ac:dyDescent="0.25">
      <c r="A31" s="73" t="s">
        <v>497</v>
      </c>
      <c r="B31" s="82">
        <f>B30*B27*B25/360</f>
        <v>2700</v>
      </c>
      <c r="C31" s="76" t="s">
        <v>498</v>
      </c>
    </row>
    <row r="32" spans="1:11" ht="28.5" customHeight="1" x14ac:dyDescent="0.25">
      <c r="A32" s="73" t="s">
        <v>499</v>
      </c>
      <c r="B32" s="82">
        <f>B24*B28</f>
        <v>1500</v>
      </c>
      <c r="C32" s="71" t="s">
        <v>500</v>
      </c>
    </row>
    <row r="33" spans="1:3" ht="28.5" customHeight="1" x14ac:dyDescent="0.25">
      <c r="A33" s="73" t="s">
        <v>501</v>
      </c>
      <c r="B33" s="82">
        <f>B30-B31-B32</f>
        <v>85800</v>
      </c>
      <c r="C33" s="76" t="s">
        <v>502</v>
      </c>
    </row>
    <row r="34" spans="1:3" ht="28.5" customHeight="1" x14ac:dyDescent="0.25">
      <c r="A34" s="73" t="s">
        <v>503</v>
      </c>
      <c r="B34" s="82">
        <v>0</v>
      </c>
      <c r="C34" s="76" t="s">
        <v>504</v>
      </c>
    </row>
    <row r="35" spans="1:3" ht="28.5" customHeight="1" x14ac:dyDescent="0.25">
      <c r="A35" s="73" t="s">
        <v>505</v>
      </c>
      <c r="B35" s="82">
        <f>B31+B32</f>
        <v>4200</v>
      </c>
      <c r="C35" s="76" t="s">
        <v>506</v>
      </c>
    </row>
    <row r="36" spans="1:3" ht="28.5" customHeight="1" x14ac:dyDescent="0.25">
      <c r="A36" s="73" t="s">
        <v>507</v>
      </c>
      <c r="B36" s="81">
        <f>IF(B33=0,"",B35/B33)</f>
        <v>4.8951048951048952E-2</v>
      </c>
      <c r="C36" s="76" t="s">
        <v>508</v>
      </c>
    </row>
    <row r="37" spans="1:3" ht="28.5" customHeight="1" x14ac:dyDescent="0.25">
      <c r="A37" s="73" t="s">
        <v>509</v>
      </c>
      <c r="B37" s="81">
        <f>IF(B25=0,"",B36*360/B25)</f>
        <v>0.2937062937062937</v>
      </c>
      <c r="C37" s="76" t="s">
        <v>510</v>
      </c>
    </row>
    <row r="38" spans="1:3" ht="28.5" customHeight="1" x14ac:dyDescent="0.25">
      <c r="A38" s="73" t="s">
        <v>511</v>
      </c>
      <c r="B38" s="78">
        <f>B33</f>
        <v>85800</v>
      </c>
      <c r="C38" s="76" t="s">
        <v>512</v>
      </c>
    </row>
    <row r="39" spans="1:3" ht="28.5" customHeight="1" x14ac:dyDescent="0.25">
      <c r="A39" s="73" t="s">
        <v>513</v>
      </c>
      <c r="B39" s="80">
        <v>0.14000000000000001</v>
      </c>
      <c r="C39" s="76" t="s">
        <v>514</v>
      </c>
    </row>
    <row r="40" spans="1:3" ht="42.75" customHeight="1" x14ac:dyDescent="0.25">
      <c r="A40" s="73" t="s">
        <v>515</v>
      </c>
      <c r="B40" s="81">
        <v>5.0000000000000001E-3</v>
      </c>
      <c r="C40" s="71" t="s">
        <v>516</v>
      </c>
    </row>
    <row r="41" spans="1:3" ht="28.5" customHeight="1" x14ac:dyDescent="0.25">
      <c r="A41" s="73" t="s">
        <v>517</v>
      </c>
      <c r="B41" s="82">
        <f>B38*B39*B25/360</f>
        <v>2002.0000000000002</v>
      </c>
      <c r="C41" s="76" t="s">
        <v>518</v>
      </c>
    </row>
    <row r="42" spans="1:3" ht="28.5" customHeight="1" x14ac:dyDescent="0.25">
      <c r="A42" s="73" t="s">
        <v>519</v>
      </c>
      <c r="B42" s="82">
        <f>B38*B40</f>
        <v>429</v>
      </c>
      <c r="C42" s="76" t="s">
        <v>520</v>
      </c>
    </row>
    <row r="43" spans="1:3" ht="28.5" customHeight="1" x14ac:dyDescent="0.25">
      <c r="A43" s="73" t="s">
        <v>521</v>
      </c>
      <c r="B43" s="82">
        <f>B41+B42</f>
        <v>2431</v>
      </c>
      <c r="C43" s="76" t="s">
        <v>522</v>
      </c>
    </row>
    <row r="44" spans="1:3" ht="28.5" customHeight="1" x14ac:dyDescent="0.25">
      <c r="A44" s="73" t="s">
        <v>523</v>
      </c>
      <c r="B44" s="82">
        <f>B35-B43</f>
        <v>1769</v>
      </c>
      <c r="C44" s="76" t="s">
        <v>524</v>
      </c>
    </row>
    <row r="45" spans="1:3" ht="42.75" customHeight="1" x14ac:dyDescent="0.25">
      <c r="A45" s="73" t="s">
        <v>525</v>
      </c>
      <c r="B45" s="72" t="str">
        <f>IF(B44&gt;0,"პირდაპირი ხარჯით ფაქტორინგი უფრო ძვირია; გაამართლეთ მხოლოდ მაშინ, თუ მნიშვნელოვანია უზრუნველყოფა, სისწრაფე, DSO, მყიდველის რისკი ან ბალანსის სარგებელი.","შეყვანილი დაშვებებით ფაქტორინგი იაფია ან თანაბარია; მაინც შეამოწმეთ რეგრესი და ბუღალტრული აღრიცხვის მიდგომა.")</f>
        <v>პირდაპირი ხარჯით ფაქტორინგი უფრო ძვირია; გაამართლეთ მხოლოდ მაშინ, თუ მნიშვნელოვანია უზრუნველყოფა, სისწრაფე, DSO, მყიდველის რისკი ან ბალანსის სარგებელი.</v>
      </c>
      <c r="C45" s="76" t="s">
        <v>526</v>
      </c>
    </row>
    <row r="49" spans="1:13" x14ac:dyDescent="0.25">
      <c r="A49" s="175" t="s">
        <v>527</v>
      </c>
      <c r="B49" s="155"/>
      <c r="C49" s="155"/>
      <c r="D49" s="155"/>
      <c r="E49" s="155"/>
    </row>
    <row r="50" spans="1:13" ht="28.5" customHeight="1" x14ac:dyDescent="0.25">
      <c r="A50" s="74" t="s">
        <v>528</v>
      </c>
      <c r="B50" s="74" t="s">
        <v>80</v>
      </c>
      <c r="C50" s="74" t="s">
        <v>529</v>
      </c>
      <c r="D50" s="74" t="s">
        <v>530</v>
      </c>
    </row>
    <row r="51" spans="1:13" ht="28.5" customHeight="1" x14ac:dyDescent="0.25">
      <c r="A51" s="87" t="s">
        <v>531</v>
      </c>
      <c r="B51" s="85" t="s">
        <v>532</v>
      </c>
      <c r="C51" s="85" t="s">
        <v>533</v>
      </c>
      <c r="D51" s="85" t="s">
        <v>534</v>
      </c>
    </row>
    <row r="52" spans="1:13" ht="28.5" customHeight="1" x14ac:dyDescent="0.25">
      <c r="A52" s="87" t="s">
        <v>535</v>
      </c>
      <c r="B52" s="85" t="s">
        <v>536</v>
      </c>
      <c r="C52" s="85" t="s">
        <v>537</v>
      </c>
      <c r="D52" s="85" t="s">
        <v>538</v>
      </c>
    </row>
    <row r="53" spans="1:13" ht="28.5" customHeight="1" x14ac:dyDescent="0.25">
      <c r="A53" s="87" t="s">
        <v>539</v>
      </c>
      <c r="B53" s="85" t="s">
        <v>540</v>
      </c>
      <c r="C53" s="85" t="s">
        <v>541</v>
      </c>
      <c r="D53" s="85" t="s">
        <v>542</v>
      </c>
    </row>
    <row r="54" spans="1:13" ht="28.5" customHeight="1" x14ac:dyDescent="0.25">
      <c r="A54" s="87" t="s">
        <v>543</v>
      </c>
      <c r="B54" s="85" t="s">
        <v>544</v>
      </c>
      <c r="C54" s="85" t="s">
        <v>545</v>
      </c>
      <c r="D54" s="85" t="s">
        <v>546</v>
      </c>
    </row>
    <row r="55" spans="1:13" ht="42.75" customHeight="1" x14ac:dyDescent="0.25">
      <c r="A55" s="87" t="s">
        <v>547</v>
      </c>
      <c r="B55" s="85" t="s">
        <v>548</v>
      </c>
      <c r="C55" s="85" t="s">
        <v>549</v>
      </c>
      <c r="D55" s="85" t="s">
        <v>550</v>
      </c>
    </row>
    <row r="58" spans="1:13" x14ac:dyDescent="0.25">
      <c r="A58" s="173" t="s">
        <v>551</v>
      </c>
      <c r="B58" s="155"/>
      <c r="C58" s="155"/>
      <c r="D58" s="155"/>
      <c r="E58" s="155"/>
      <c r="F58" s="155"/>
      <c r="G58" s="155"/>
      <c r="H58" s="155"/>
      <c r="I58" s="155"/>
      <c r="J58" s="155"/>
      <c r="K58" s="155"/>
      <c r="L58" s="155"/>
      <c r="M58" s="155"/>
    </row>
    <row r="59" spans="1:13" x14ac:dyDescent="0.25">
      <c r="A59" s="75" t="s">
        <v>552</v>
      </c>
      <c r="B59" s="75" t="s">
        <v>553</v>
      </c>
    </row>
    <row r="60" spans="1:13" ht="42.75" customHeight="1" x14ac:dyDescent="0.25">
      <c r="A60" s="73" t="s">
        <v>554</v>
      </c>
      <c r="B60" s="71" t="s">
        <v>555</v>
      </c>
    </row>
    <row r="61" spans="1:13" ht="28.5" customHeight="1" x14ac:dyDescent="0.25">
      <c r="A61" s="73" t="s">
        <v>556</v>
      </c>
      <c r="B61" s="71" t="s">
        <v>557</v>
      </c>
    </row>
    <row r="62" spans="1:13" ht="57" customHeight="1" x14ac:dyDescent="0.25">
      <c r="A62" s="73" t="s">
        <v>558</v>
      </c>
      <c r="B62" s="71" t="s">
        <v>559</v>
      </c>
    </row>
    <row r="63" spans="1:13" ht="42.75" customHeight="1" x14ac:dyDescent="0.25">
      <c r="A63" s="73" t="s">
        <v>560</v>
      </c>
      <c r="B63" s="71" t="s">
        <v>561</v>
      </c>
    </row>
    <row r="64" spans="1:13" ht="28.5" customHeight="1" x14ac:dyDescent="0.25">
      <c r="A64" s="73" t="s">
        <v>562</v>
      </c>
      <c r="B64" s="71" t="s">
        <v>563</v>
      </c>
    </row>
    <row r="65" spans="1:2" ht="42.75" customHeight="1" x14ac:dyDescent="0.25">
      <c r="A65" s="73" t="s">
        <v>564</v>
      </c>
      <c r="B65" s="71" t="s">
        <v>565</v>
      </c>
    </row>
  </sheetData>
  <mergeCells count="6">
    <mergeCell ref="G4:H4"/>
    <mergeCell ref="A2:E2"/>
    <mergeCell ref="A58:M58"/>
    <mergeCell ref="A49:E49"/>
    <mergeCell ref="A1:E1"/>
    <mergeCell ref="A23:E23"/>
  </mergeCells>
  <dataValidations count="4">
    <dataValidation type="list" errorTitle="Invalid input" error="Select a value from the dropdown list." sqref="C5 C8 C10:C13 C17:C19" xr:uid="{00000000-0002-0000-0400-000000000000}">
      <formula1>"დიახ,არა"</formula1>
    </dataValidation>
    <dataValidation type="list" errorTitle="Invalid input" error="Select a value from the dropdown list." sqref="C6:C7" xr:uid="{00000000-0002-0000-0400-000001000000}">
      <formula1>"დიახ,არა,გაურკვეველია"</formula1>
    </dataValidation>
    <dataValidation type="list" errorTitle="Invalid input" error="Select a value from the dropdown list." sqref="C14 C16" xr:uid="{00000000-0002-0000-0400-000002000000}">
      <formula1>"დიახ,არა,უცნობია"</formula1>
    </dataValidation>
    <dataValidation type="list" errorTitle="Invalid input" error="Select a value from the dropdown list." sqref="C15" xr:uid="{00000000-0002-0000-0400-000003000000}">
      <formula1>"დიახ,არა,არ გამოიყენება"</formula1>
    </dataValidation>
  </dataValidations>
  <pageMargins left="0.75" right="0.75" top="1" bottom="1" header="0.5" footer="0.5"/>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95"/>
  <sheetViews>
    <sheetView showGridLines="0" workbookViewId="0">
      <pane ySplit="3" topLeftCell="A4" activePane="bottomLeft" state="frozen"/>
      <selection pane="bottomLeft" activeCell="B8" sqref="B8"/>
    </sheetView>
  </sheetViews>
  <sheetFormatPr defaultRowHeight="15" x14ac:dyDescent="0.25"/>
  <cols>
    <col min="1" max="1" width="24" customWidth="1"/>
    <col min="2" max="2" width="55" customWidth="1"/>
    <col min="3" max="3" width="65" customWidth="1"/>
    <col min="4" max="4" width="48" customWidth="1"/>
  </cols>
  <sheetData>
    <row r="1" spans="1:4" ht="28.15" customHeight="1" x14ac:dyDescent="0.25">
      <c r="A1" s="182" t="s">
        <v>566</v>
      </c>
      <c r="B1" s="155"/>
      <c r="C1" s="155"/>
      <c r="D1" s="155"/>
    </row>
    <row r="2" spans="1:4" ht="37.9" customHeight="1" x14ac:dyDescent="0.25">
      <c r="A2" s="179" t="s">
        <v>567</v>
      </c>
      <c r="B2" s="155"/>
      <c r="C2" s="155"/>
      <c r="D2" s="155"/>
    </row>
    <row r="3" spans="1:4" ht="42" customHeight="1" x14ac:dyDescent="0.25">
      <c r="A3" s="31"/>
      <c r="B3" s="31"/>
      <c r="C3" s="31"/>
      <c r="D3" s="31"/>
    </row>
    <row r="4" spans="1:4" ht="42" customHeight="1" x14ac:dyDescent="0.25">
      <c r="A4" s="180" t="s">
        <v>568</v>
      </c>
      <c r="B4" s="155"/>
      <c r="C4" s="155"/>
      <c r="D4" s="155"/>
    </row>
    <row r="5" spans="1:4" ht="58.15" customHeight="1" x14ac:dyDescent="0.25">
      <c r="A5" s="178" t="s">
        <v>569</v>
      </c>
      <c r="B5" s="163"/>
      <c r="C5" s="163"/>
      <c r="D5" s="163"/>
    </row>
    <row r="6" spans="1:4" ht="42" customHeight="1" x14ac:dyDescent="0.25">
      <c r="A6" s="180" t="s">
        <v>570</v>
      </c>
      <c r="B6" s="155"/>
      <c r="C6" s="155"/>
      <c r="D6" s="155"/>
    </row>
    <row r="7" spans="1:4" ht="42" customHeight="1" x14ac:dyDescent="0.25">
      <c r="A7" s="32" t="s">
        <v>571</v>
      </c>
      <c r="B7" s="32" t="s">
        <v>572</v>
      </c>
      <c r="C7" s="32" t="s">
        <v>573</v>
      </c>
      <c r="D7" s="32" t="s">
        <v>574</v>
      </c>
    </row>
    <row r="8" spans="1:4" ht="45" customHeight="1" x14ac:dyDescent="0.25">
      <c r="A8" s="33" t="s">
        <v>9</v>
      </c>
      <c r="B8" s="34" t="s">
        <v>575</v>
      </c>
      <c r="C8" s="34" t="s">
        <v>576</v>
      </c>
      <c r="D8" s="34" t="s">
        <v>577</v>
      </c>
    </row>
    <row r="9" spans="1:4" ht="45" customHeight="1" x14ac:dyDescent="0.25">
      <c r="A9" s="33" t="s">
        <v>578</v>
      </c>
      <c r="B9" s="34" t="s">
        <v>579</v>
      </c>
      <c r="C9" s="34" t="s">
        <v>580</v>
      </c>
      <c r="D9" s="34" t="s">
        <v>581</v>
      </c>
    </row>
    <row r="10" spans="1:4" ht="45" customHeight="1" x14ac:dyDescent="0.25">
      <c r="A10" s="33" t="s">
        <v>582</v>
      </c>
      <c r="B10" s="34" t="s">
        <v>583</v>
      </c>
      <c r="C10" s="34" t="s">
        <v>584</v>
      </c>
      <c r="D10" s="34" t="s">
        <v>585</v>
      </c>
    </row>
    <row r="11" spans="1:4" ht="45" customHeight="1" x14ac:dyDescent="0.25">
      <c r="A11" s="33" t="s">
        <v>586</v>
      </c>
      <c r="B11" s="34" t="s">
        <v>587</v>
      </c>
      <c r="C11" s="34" t="s">
        <v>588</v>
      </c>
      <c r="D11" s="34" t="s">
        <v>589</v>
      </c>
    </row>
    <row r="12" spans="1:4" ht="45" customHeight="1" x14ac:dyDescent="0.25">
      <c r="A12" s="33" t="s">
        <v>590</v>
      </c>
      <c r="B12" s="34" t="s">
        <v>591</v>
      </c>
      <c r="C12" s="34" t="s">
        <v>592</v>
      </c>
      <c r="D12" s="34" t="s">
        <v>593</v>
      </c>
    </row>
    <row r="13" spans="1:4" ht="42" customHeight="1" x14ac:dyDescent="0.25">
      <c r="A13" s="180" t="s">
        <v>594</v>
      </c>
      <c r="B13" s="155"/>
      <c r="C13" s="155"/>
      <c r="D13" s="155"/>
    </row>
    <row r="14" spans="1:4" ht="42" customHeight="1" x14ac:dyDescent="0.25">
      <c r="A14" s="32" t="s">
        <v>595</v>
      </c>
      <c r="B14" s="32" t="s">
        <v>596</v>
      </c>
      <c r="C14" s="32" t="s">
        <v>13</v>
      </c>
      <c r="D14" s="32" t="s">
        <v>597</v>
      </c>
    </row>
    <row r="15" spans="1:4" ht="45" customHeight="1" x14ac:dyDescent="0.25">
      <c r="A15" s="33" t="s">
        <v>598</v>
      </c>
      <c r="B15" s="34" t="s">
        <v>599</v>
      </c>
      <c r="C15" s="34" t="s">
        <v>588</v>
      </c>
      <c r="D15" s="34" t="s">
        <v>600</v>
      </c>
    </row>
    <row r="16" spans="1:4" ht="45" customHeight="1" x14ac:dyDescent="0.25">
      <c r="A16" s="33" t="s">
        <v>601</v>
      </c>
      <c r="B16" s="34" t="s">
        <v>602</v>
      </c>
      <c r="C16" s="34" t="s">
        <v>592</v>
      </c>
      <c r="D16" s="34" t="s">
        <v>603</v>
      </c>
    </row>
    <row r="17" spans="1:4" ht="45" customHeight="1" x14ac:dyDescent="0.25">
      <c r="A17" s="33" t="s">
        <v>604</v>
      </c>
      <c r="B17" s="34" t="s">
        <v>605</v>
      </c>
      <c r="C17" s="34" t="s">
        <v>606</v>
      </c>
      <c r="D17" s="34" t="s">
        <v>607</v>
      </c>
    </row>
    <row r="18" spans="1:4" ht="45" customHeight="1" x14ac:dyDescent="0.25">
      <c r="A18" s="33" t="s">
        <v>608</v>
      </c>
      <c r="B18" s="34" t="s">
        <v>609</v>
      </c>
      <c r="C18" s="34" t="s">
        <v>610</v>
      </c>
      <c r="D18" s="34" t="s">
        <v>611</v>
      </c>
    </row>
    <row r="19" spans="1:4" ht="45" customHeight="1" x14ac:dyDescent="0.25">
      <c r="A19" s="33" t="s">
        <v>612</v>
      </c>
      <c r="B19" s="34" t="s">
        <v>613</v>
      </c>
      <c r="C19" s="34" t="s">
        <v>614</v>
      </c>
      <c r="D19" s="34" t="s">
        <v>615</v>
      </c>
    </row>
    <row r="20" spans="1:4" ht="45" customHeight="1" x14ac:dyDescent="0.25">
      <c r="A20" s="33" t="s">
        <v>616</v>
      </c>
      <c r="B20" s="34" t="s">
        <v>617</v>
      </c>
      <c r="C20" s="34" t="s">
        <v>618</v>
      </c>
      <c r="D20" s="34" t="s">
        <v>619</v>
      </c>
    </row>
    <row r="21" spans="1:4" ht="45" customHeight="1" x14ac:dyDescent="0.25">
      <c r="A21" s="33" t="s">
        <v>620</v>
      </c>
      <c r="B21" s="34" t="s">
        <v>621</v>
      </c>
      <c r="C21" s="34" t="s">
        <v>584</v>
      </c>
      <c r="D21" s="34" t="s">
        <v>622</v>
      </c>
    </row>
    <row r="22" spans="1:4" ht="45" customHeight="1" x14ac:dyDescent="0.25">
      <c r="A22" s="33" t="s">
        <v>623</v>
      </c>
      <c r="B22" s="34" t="s">
        <v>624</v>
      </c>
      <c r="C22" s="34" t="s">
        <v>580</v>
      </c>
      <c r="D22" s="34" t="s">
        <v>625</v>
      </c>
    </row>
    <row r="23" spans="1:4" ht="45" customHeight="1" x14ac:dyDescent="0.25">
      <c r="A23" s="33" t="s">
        <v>626</v>
      </c>
      <c r="B23" s="34" t="s">
        <v>627</v>
      </c>
      <c r="C23" s="34" t="s">
        <v>628</v>
      </c>
      <c r="D23" s="34" t="s">
        <v>629</v>
      </c>
    </row>
    <row r="24" spans="1:4" ht="45" customHeight="1" x14ac:dyDescent="0.25">
      <c r="A24" s="33" t="s">
        <v>630</v>
      </c>
      <c r="B24" s="34" t="s">
        <v>631</v>
      </c>
      <c r="C24" s="34" t="s">
        <v>632</v>
      </c>
      <c r="D24" s="34" t="s">
        <v>633</v>
      </c>
    </row>
    <row r="25" spans="1:4" ht="42" customHeight="1" x14ac:dyDescent="0.25">
      <c r="A25" s="180" t="s">
        <v>634</v>
      </c>
      <c r="B25" s="155"/>
      <c r="C25" s="155"/>
      <c r="D25" s="155"/>
    </row>
    <row r="26" spans="1:4" ht="42" customHeight="1" x14ac:dyDescent="0.25">
      <c r="A26" s="32" t="s">
        <v>635</v>
      </c>
      <c r="B26" s="32" t="s">
        <v>28</v>
      </c>
      <c r="C26" s="32" t="s">
        <v>39</v>
      </c>
      <c r="D26" s="32" t="s">
        <v>636</v>
      </c>
    </row>
    <row r="27" spans="1:4" ht="45" customHeight="1" x14ac:dyDescent="0.25">
      <c r="A27" s="33" t="s">
        <v>637</v>
      </c>
      <c r="B27" s="34" t="s">
        <v>638</v>
      </c>
      <c r="C27" s="34" t="s">
        <v>639</v>
      </c>
      <c r="D27" s="34" t="s">
        <v>640</v>
      </c>
    </row>
    <row r="28" spans="1:4" ht="45" customHeight="1" x14ac:dyDescent="0.25">
      <c r="A28" s="33" t="s">
        <v>641</v>
      </c>
      <c r="B28" s="34" t="s">
        <v>642</v>
      </c>
      <c r="C28" s="34" t="s">
        <v>643</v>
      </c>
      <c r="D28" s="34" t="s">
        <v>644</v>
      </c>
    </row>
    <row r="29" spans="1:4" ht="45" customHeight="1" x14ac:dyDescent="0.25">
      <c r="A29" s="33" t="s">
        <v>645</v>
      </c>
      <c r="B29" s="34" t="s">
        <v>646</v>
      </c>
      <c r="C29" s="34" t="s">
        <v>647</v>
      </c>
      <c r="D29" s="34" t="s">
        <v>648</v>
      </c>
    </row>
    <row r="30" spans="1:4" ht="45" customHeight="1" x14ac:dyDescent="0.25">
      <c r="A30" s="33" t="s">
        <v>649</v>
      </c>
      <c r="B30" s="34" t="s">
        <v>650</v>
      </c>
      <c r="C30" s="34" t="s">
        <v>651</v>
      </c>
      <c r="D30" s="34" t="s">
        <v>652</v>
      </c>
    </row>
    <row r="31" spans="1:4" ht="42" customHeight="1" x14ac:dyDescent="0.25">
      <c r="A31" s="180" t="s">
        <v>653</v>
      </c>
      <c r="B31" s="155"/>
      <c r="C31" s="155"/>
      <c r="D31" s="155"/>
    </row>
    <row r="32" spans="1:4" ht="42" customHeight="1" x14ac:dyDescent="0.25">
      <c r="A32" s="32" t="s">
        <v>17</v>
      </c>
      <c r="B32" s="32" t="s">
        <v>654</v>
      </c>
      <c r="C32" s="32" t="s">
        <v>655</v>
      </c>
      <c r="D32" s="32" t="s">
        <v>336</v>
      </c>
    </row>
    <row r="33" spans="1:4" ht="45" customHeight="1" x14ac:dyDescent="0.25">
      <c r="A33" s="33" t="s">
        <v>28</v>
      </c>
      <c r="B33" s="34" t="s">
        <v>656</v>
      </c>
      <c r="C33" s="34" t="s">
        <v>657</v>
      </c>
      <c r="D33" s="34" t="s">
        <v>658</v>
      </c>
    </row>
    <row r="34" spans="1:4" ht="45" customHeight="1" x14ac:dyDescent="0.25">
      <c r="A34" s="33" t="s">
        <v>49</v>
      </c>
      <c r="B34" s="34" t="s">
        <v>659</v>
      </c>
      <c r="C34" s="34" t="s">
        <v>660</v>
      </c>
      <c r="D34" s="34" t="s">
        <v>661</v>
      </c>
    </row>
    <row r="35" spans="1:4" ht="45" customHeight="1" x14ac:dyDescent="0.25">
      <c r="A35" s="33" t="s">
        <v>60</v>
      </c>
      <c r="B35" s="34" t="s">
        <v>662</v>
      </c>
      <c r="C35" s="34" t="s">
        <v>663</v>
      </c>
      <c r="D35" s="34" t="s">
        <v>664</v>
      </c>
    </row>
    <row r="36" spans="1:4" ht="45" customHeight="1" x14ac:dyDescent="0.25">
      <c r="A36" s="33" t="s">
        <v>39</v>
      </c>
      <c r="B36" s="34" t="s">
        <v>665</v>
      </c>
      <c r="C36" s="34" t="s">
        <v>666</v>
      </c>
      <c r="D36" s="34" t="s">
        <v>667</v>
      </c>
    </row>
    <row r="37" spans="1:4" ht="45" customHeight="1" x14ac:dyDescent="0.25">
      <c r="A37" s="33" t="s">
        <v>70</v>
      </c>
      <c r="B37" s="34" t="s">
        <v>668</v>
      </c>
      <c r="C37" s="34" t="s">
        <v>669</v>
      </c>
      <c r="D37" s="34" t="s">
        <v>670</v>
      </c>
    </row>
    <row r="38" spans="1:4" ht="45" customHeight="1" x14ac:dyDescent="0.25">
      <c r="A38" s="33" t="s">
        <v>80</v>
      </c>
      <c r="B38" s="34" t="s">
        <v>671</v>
      </c>
      <c r="C38" s="34" t="s">
        <v>672</v>
      </c>
      <c r="D38" s="34" t="s">
        <v>673</v>
      </c>
    </row>
    <row r="39" spans="1:4" ht="45" customHeight="1" x14ac:dyDescent="0.25">
      <c r="A39" s="33" t="s">
        <v>674</v>
      </c>
      <c r="B39" s="34" t="s">
        <v>675</v>
      </c>
      <c r="C39" s="34" t="s">
        <v>676</v>
      </c>
      <c r="D39" s="34" t="s">
        <v>677</v>
      </c>
    </row>
    <row r="40" spans="1:4" ht="45" customHeight="1" x14ac:dyDescent="0.25">
      <c r="A40" s="33" t="s">
        <v>100</v>
      </c>
      <c r="B40" s="34" t="s">
        <v>678</v>
      </c>
      <c r="C40" s="34" t="s">
        <v>679</v>
      </c>
      <c r="D40" s="34" t="s">
        <v>680</v>
      </c>
    </row>
    <row r="41" spans="1:4" ht="45" customHeight="1" x14ac:dyDescent="0.25">
      <c r="A41" s="33" t="s">
        <v>231</v>
      </c>
      <c r="B41" s="34" t="s">
        <v>681</v>
      </c>
      <c r="C41" s="34" t="s">
        <v>682</v>
      </c>
      <c r="D41" s="34" t="s">
        <v>683</v>
      </c>
    </row>
    <row r="42" spans="1:4" ht="42" customHeight="1" x14ac:dyDescent="0.25">
      <c r="A42" s="180" t="s">
        <v>684</v>
      </c>
      <c r="B42" s="155"/>
      <c r="C42" s="155"/>
      <c r="D42" s="155"/>
    </row>
    <row r="43" spans="1:4" ht="42" customHeight="1" x14ac:dyDescent="0.25">
      <c r="A43" s="32" t="s">
        <v>685</v>
      </c>
      <c r="B43" s="32" t="s">
        <v>686</v>
      </c>
      <c r="C43" s="32" t="s">
        <v>687</v>
      </c>
      <c r="D43" s="32" t="s">
        <v>688</v>
      </c>
    </row>
    <row r="44" spans="1:4" ht="45" customHeight="1" x14ac:dyDescent="0.25">
      <c r="A44" s="33" t="s">
        <v>689</v>
      </c>
      <c r="B44" s="34" t="s">
        <v>690</v>
      </c>
      <c r="C44" s="34" t="s">
        <v>691</v>
      </c>
      <c r="D44" s="34" t="s">
        <v>692</v>
      </c>
    </row>
    <row r="45" spans="1:4" ht="45" customHeight="1" x14ac:dyDescent="0.25">
      <c r="A45" s="33" t="s">
        <v>693</v>
      </c>
      <c r="B45" s="34" t="s">
        <v>694</v>
      </c>
      <c r="C45" s="34" t="s">
        <v>695</v>
      </c>
      <c r="D45" s="34" t="s">
        <v>696</v>
      </c>
    </row>
    <row r="46" spans="1:4" ht="45" customHeight="1" x14ac:dyDescent="0.25">
      <c r="A46" s="33" t="s">
        <v>697</v>
      </c>
      <c r="B46" s="34" t="s">
        <v>698</v>
      </c>
      <c r="C46" s="34" t="s">
        <v>580</v>
      </c>
      <c r="D46" s="34" t="s">
        <v>699</v>
      </c>
    </row>
    <row r="47" spans="1:4" ht="45" customHeight="1" x14ac:dyDescent="0.25">
      <c r="A47" s="33" t="s">
        <v>700</v>
      </c>
      <c r="B47" s="34" t="s">
        <v>701</v>
      </c>
      <c r="C47" s="34" t="s">
        <v>702</v>
      </c>
      <c r="D47" s="34" t="s">
        <v>703</v>
      </c>
    </row>
    <row r="48" spans="1:4" ht="45" customHeight="1" x14ac:dyDescent="0.25">
      <c r="A48" s="33" t="s">
        <v>704</v>
      </c>
      <c r="B48" s="34" t="s">
        <v>705</v>
      </c>
      <c r="C48" s="34" t="s">
        <v>584</v>
      </c>
      <c r="D48" s="34" t="s">
        <v>706</v>
      </c>
    </row>
    <row r="49" spans="1:4" ht="45" customHeight="1" x14ac:dyDescent="0.25">
      <c r="A49" s="33" t="s">
        <v>707</v>
      </c>
      <c r="B49" s="34" t="s">
        <v>708</v>
      </c>
      <c r="C49" s="34" t="s">
        <v>614</v>
      </c>
      <c r="D49" s="34" t="s">
        <v>709</v>
      </c>
    </row>
    <row r="50" spans="1:4" ht="42" customHeight="1" x14ac:dyDescent="0.25">
      <c r="A50" s="180" t="s">
        <v>710</v>
      </c>
      <c r="B50" s="155"/>
      <c r="C50" s="155"/>
      <c r="D50" s="155"/>
    </row>
    <row r="51" spans="1:4" ht="42" customHeight="1" x14ac:dyDescent="0.25">
      <c r="A51" s="32" t="s">
        <v>711</v>
      </c>
      <c r="B51" s="32" t="s">
        <v>712</v>
      </c>
      <c r="C51" s="32" t="s">
        <v>713</v>
      </c>
      <c r="D51" s="32" t="s">
        <v>530</v>
      </c>
    </row>
    <row r="52" spans="1:4" ht="45" customHeight="1" x14ac:dyDescent="0.25">
      <c r="A52" s="33" t="s">
        <v>714</v>
      </c>
      <c r="B52" s="34" t="s">
        <v>715</v>
      </c>
      <c r="C52" s="34" t="s">
        <v>716</v>
      </c>
      <c r="D52" s="34" t="s">
        <v>717</v>
      </c>
    </row>
    <row r="53" spans="1:4" ht="45" customHeight="1" x14ac:dyDescent="0.25">
      <c r="A53" s="33" t="s">
        <v>718</v>
      </c>
      <c r="B53" s="34" t="s">
        <v>719</v>
      </c>
      <c r="C53" s="34" t="s">
        <v>610</v>
      </c>
      <c r="D53" s="34" t="s">
        <v>720</v>
      </c>
    </row>
    <row r="54" spans="1:4" ht="45" customHeight="1" x14ac:dyDescent="0.25">
      <c r="A54" s="33" t="s">
        <v>721</v>
      </c>
      <c r="B54" s="34" t="s">
        <v>722</v>
      </c>
      <c r="C54" s="34" t="s">
        <v>723</v>
      </c>
      <c r="D54" s="34" t="s">
        <v>724</v>
      </c>
    </row>
    <row r="55" spans="1:4" ht="45" customHeight="1" x14ac:dyDescent="0.25">
      <c r="A55" s="33" t="s">
        <v>725</v>
      </c>
      <c r="B55" s="34" t="s">
        <v>726</v>
      </c>
      <c r="C55" s="34" t="s">
        <v>606</v>
      </c>
      <c r="D55" s="34" t="s">
        <v>727</v>
      </c>
    </row>
    <row r="56" spans="1:4" ht="45" customHeight="1" x14ac:dyDescent="0.25">
      <c r="A56" s="33" t="s">
        <v>728</v>
      </c>
      <c r="B56" s="34" t="s">
        <v>729</v>
      </c>
      <c r="C56" s="34" t="s">
        <v>730</v>
      </c>
      <c r="D56" s="34" t="s">
        <v>731</v>
      </c>
    </row>
    <row r="57" spans="1:4" ht="45" customHeight="1" x14ac:dyDescent="0.25">
      <c r="A57" s="33" t="s">
        <v>732</v>
      </c>
      <c r="B57" s="34" t="s">
        <v>733</v>
      </c>
      <c r="C57" s="34" t="s">
        <v>734</v>
      </c>
      <c r="D57" s="34" t="s">
        <v>735</v>
      </c>
    </row>
    <row r="58" spans="1:4" ht="45" customHeight="1" x14ac:dyDescent="0.25">
      <c r="A58" s="33" t="s">
        <v>736</v>
      </c>
      <c r="B58" s="34" t="s">
        <v>737</v>
      </c>
      <c r="C58" s="34" t="s">
        <v>738</v>
      </c>
      <c r="D58" s="34" t="s">
        <v>739</v>
      </c>
    </row>
    <row r="59" spans="1:4" ht="42" customHeight="1" x14ac:dyDescent="0.25">
      <c r="A59" s="180" t="s">
        <v>740</v>
      </c>
      <c r="B59" s="155"/>
      <c r="C59" s="155"/>
      <c r="D59" s="155"/>
    </row>
    <row r="60" spans="1:4" ht="42" customHeight="1" x14ac:dyDescent="0.25">
      <c r="A60" s="32" t="s">
        <v>14</v>
      </c>
      <c r="B60" s="32" t="s">
        <v>741</v>
      </c>
      <c r="C60" s="32" t="s">
        <v>742</v>
      </c>
      <c r="D60" s="32" t="s">
        <v>743</v>
      </c>
    </row>
    <row r="61" spans="1:4" ht="45" customHeight="1" x14ac:dyDescent="0.25">
      <c r="A61" s="33" t="s">
        <v>26</v>
      </c>
      <c r="B61" s="34" t="s">
        <v>744</v>
      </c>
      <c r="C61" s="34" t="s">
        <v>745</v>
      </c>
      <c r="D61" s="34" t="s">
        <v>746</v>
      </c>
    </row>
    <row r="62" spans="1:4" ht="45" customHeight="1" x14ac:dyDescent="0.25">
      <c r="A62" s="33" t="s">
        <v>37</v>
      </c>
      <c r="B62" s="34" t="s">
        <v>747</v>
      </c>
      <c r="C62" s="34" t="s">
        <v>748</v>
      </c>
      <c r="D62" s="34" t="s">
        <v>749</v>
      </c>
    </row>
    <row r="63" spans="1:4" ht="45" customHeight="1" x14ac:dyDescent="0.25">
      <c r="A63" s="33" t="s">
        <v>47</v>
      </c>
      <c r="B63" s="34" t="s">
        <v>750</v>
      </c>
      <c r="C63" s="34" t="s">
        <v>751</v>
      </c>
      <c r="D63" s="34" t="s">
        <v>752</v>
      </c>
    </row>
    <row r="64" spans="1:4" ht="45" customHeight="1" x14ac:dyDescent="0.25">
      <c r="A64" s="33" t="s">
        <v>58</v>
      </c>
      <c r="B64" s="34" t="s">
        <v>753</v>
      </c>
      <c r="C64" s="34" t="s">
        <v>754</v>
      </c>
      <c r="D64" s="34" t="s">
        <v>755</v>
      </c>
    </row>
    <row r="65" spans="1:4" ht="45" customHeight="1" x14ac:dyDescent="0.25">
      <c r="A65" s="33" t="s">
        <v>68</v>
      </c>
      <c r="B65" s="34" t="s">
        <v>756</v>
      </c>
      <c r="C65" s="34" t="s">
        <v>757</v>
      </c>
      <c r="D65" s="34" t="s">
        <v>758</v>
      </c>
    </row>
    <row r="66" spans="1:4" ht="45" customHeight="1" x14ac:dyDescent="0.25">
      <c r="A66" s="33" t="s">
        <v>78</v>
      </c>
      <c r="B66" s="34" t="s">
        <v>759</v>
      </c>
      <c r="C66" s="34" t="s">
        <v>760</v>
      </c>
      <c r="D66" s="34" t="s">
        <v>761</v>
      </c>
    </row>
    <row r="67" spans="1:4" ht="45" customHeight="1" x14ac:dyDescent="0.25">
      <c r="A67" s="33" t="s">
        <v>88</v>
      </c>
      <c r="B67" s="34" t="s">
        <v>762</v>
      </c>
      <c r="C67" s="34" t="s">
        <v>763</v>
      </c>
      <c r="D67" s="34" t="s">
        <v>764</v>
      </c>
    </row>
    <row r="68" spans="1:4" ht="45" customHeight="1" x14ac:dyDescent="0.25">
      <c r="A68" s="33" t="s">
        <v>98</v>
      </c>
      <c r="B68" s="34" t="s">
        <v>765</v>
      </c>
      <c r="C68" s="34" t="s">
        <v>766</v>
      </c>
      <c r="D68" s="34" t="s">
        <v>767</v>
      </c>
    </row>
    <row r="69" spans="1:4" ht="45" customHeight="1" x14ac:dyDescent="0.25">
      <c r="A69" s="33" t="s">
        <v>107</v>
      </c>
      <c r="B69" s="34" t="s">
        <v>768</v>
      </c>
      <c r="C69" s="34" t="s">
        <v>769</v>
      </c>
      <c r="D69" s="34" t="s">
        <v>770</v>
      </c>
    </row>
    <row r="70" spans="1:4" ht="45" customHeight="1" x14ac:dyDescent="0.25">
      <c r="A70" s="33" t="s">
        <v>117</v>
      </c>
      <c r="B70" s="34" t="s">
        <v>771</v>
      </c>
      <c r="C70" s="34" t="s">
        <v>772</v>
      </c>
      <c r="D70" s="34" t="s">
        <v>773</v>
      </c>
    </row>
    <row r="71" spans="1:4" ht="45" customHeight="1" x14ac:dyDescent="0.25">
      <c r="A71" s="33" t="s">
        <v>128</v>
      </c>
      <c r="B71" s="34" t="s">
        <v>774</v>
      </c>
      <c r="C71" s="34" t="s">
        <v>775</v>
      </c>
      <c r="D71" s="34" t="s">
        <v>776</v>
      </c>
    </row>
    <row r="72" spans="1:4" ht="45" customHeight="1" x14ac:dyDescent="0.25">
      <c r="A72" s="33" t="s">
        <v>139</v>
      </c>
      <c r="B72" s="34" t="s">
        <v>777</v>
      </c>
      <c r="C72" s="34" t="s">
        <v>778</v>
      </c>
      <c r="D72" s="34" t="s">
        <v>779</v>
      </c>
    </row>
    <row r="73" spans="1:4" ht="42" customHeight="1" x14ac:dyDescent="0.25">
      <c r="A73" s="180" t="s">
        <v>780</v>
      </c>
      <c r="B73" s="155"/>
      <c r="C73" s="155"/>
      <c r="D73" s="155"/>
    </row>
    <row r="74" spans="1:4" ht="42" customHeight="1" x14ac:dyDescent="0.25">
      <c r="A74" s="32" t="s">
        <v>781</v>
      </c>
      <c r="B74" s="32" t="s">
        <v>782</v>
      </c>
      <c r="C74" s="32" t="s">
        <v>783</v>
      </c>
      <c r="D74" s="32" t="s">
        <v>784</v>
      </c>
    </row>
    <row r="75" spans="1:4" ht="45" customHeight="1" x14ac:dyDescent="0.25">
      <c r="A75" s="33" t="s">
        <v>785</v>
      </c>
      <c r="B75" s="34" t="s">
        <v>786</v>
      </c>
      <c r="C75" s="34" t="s">
        <v>787</v>
      </c>
      <c r="D75" s="34" t="s">
        <v>788</v>
      </c>
    </row>
    <row r="76" spans="1:4" ht="45" customHeight="1" x14ac:dyDescent="0.25">
      <c r="A76" s="33" t="s">
        <v>789</v>
      </c>
      <c r="B76" s="34" t="s">
        <v>790</v>
      </c>
      <c r="C76" s="34" t="s">
        <v>791</v>
      </c>
      <c r="D76" s="34" t="s">
        <v>792</v>
      </c>
    </row>
    <row r="77" spans="1:4" ht="45" customHeight="1" x14ac:dyDescent="0.25">
      <c r="A77" s="33" t="s">
        <v>793</v>
      </c>
      <c r="B77" s="34" t="s">
        <v>794</v>
      </c>
      <c r="C77" s="34" t="s">
        <v>795</v>
      </c>
      <c r="D77" s="34" t="s">
        <v>796</v>
      </c>
    </row>
    <row r="78" spans="1:4" ht="42" customHeight="1" x14ac:dyDescent="0.25">
      <c r="A78" s="180" t="s">
        <v>797</v>
      </c>
      <c r="B78" s="155"/>
      <c r="C78" s="155"/>
      <c r="D78" s="155"/>
    </row>
    <row r="79" spans="1:4" ht="64.900000000000006" customHeight="1" x14ac:dyDescent="0.25">
      <c r="A79" s="181" t="s">
        <v>798</v>
      </c>
      <c r="B79" s="163"/>
      <c r="C79" s="163"/>
      <c r="D79" s="163"/>
    </row>
    <row r="80" spans="1:4" ht="55.15" customHeight="1" x14ac:dyDescent="0.25">
      <c r="A80" s="181" t="s">
        <v>799</v>
      </c>
      <c r="B80" s="163"/>
      <c r="C80" s="163"/>
      <c r="D80" s="163"/>
    </row>
    <row r="81" spans="1:4" ht="58.15" customHeight="1" x14ac:dyDescent="0.25">
      <c r="A81" s="181" t="s">
        <v>800</v>
      </c>
      <c r="B81" s="163"/>
      <c r="C81" s="163"/>
      <c r="D81" s="163"/>
    </row>
    <row r="82" spans="1:4" ht="52.15" customHeight="1" x14ac:dyDescent="0.25">
      <c r="A82" s="181" t="s">
        <v>801</v>
      </c>
      <c r="B82" s="163"/>
      <c r="C82" s="163"/>
      <c r="D82" s="163"/>
    </row>
    <row r="83" spans="1:4" ht="42" customHeight="1" x14ac:dyDescent="0.25">
      <c r="A83" s="180" t="s">
        <v>802</v>
      </c>
      <c r="B83" s="155"/>
      <c r="C83" s="155"/>
      <c r="D83" s="155"/>
    </row>
    <row r="84" spans="1:4" ht="42" customHeight="1" x14ac:dyDescent="0.25">
      <c r="A84" s="32" t="s">
        <v>17</v>
      </c>
      <c r="B84" s="32" t="s">
        <v>803</v>
      </c>
      <c r="C84" s="32" t="s">
        <v>804</v>
      </c>
      <c r="D84" s="32" t="s">
        <v>805</v>
      </c>
    </row>
    <row r="85" spans="1:4" ht="45" customHeight="1" x14ac:dyDescent="0.25">
      <c r="A85" s="33" t="s">
        <v>806</v>
      </c>
      <c r="B85" s="34" t="s">
        <v>807</v>
      </c>
      <c r="C85" s="34" t="s">
        <v>656</v>
      </c>
      <c r="D85" s="34" t="s">
        <v>808</v>
      </c>
    </row>
    <row r="86" spans="1:4" ht="45" customHeight="1" x14ac:dyDescent="0.25">
      <c r="A86" s="33" t="s">
        <v>49</v>
      </c>
      <c r="B86" s="34" t="s">
        <v>809</v>
      </c>
      <c r="C86" s="34" t="s">
        <v>810</v>
      </c>
      <c r="D86" s="34" t="s">
        <v>811</v>
      </c>
    </row>
    <row r="87" spans="1:4" ht="45" customHeight="1" x14ac:dyDescent="0.25">
      <c r="A87" s="33" t="s">
        <v>60</v>
      </c>
      <c r="B87" s="34" t="s">
        <v>812</v>
      </c>
      <c r="C87" s="34" t="s">
        <v>813</v>
      </c>
      <c r="D87" s="34" t="s">
        <v>814</v>
      </c>
    </row>
    <row r="88" spans="1:4" ht="45" customHeight="1" x14ac:dyDescent="0.25">
      <c r="A88" s="33" t="s">
        <v>39</v>
      </c>
      <c r="B88" s="34" t="s">
        <v>815</v>
      </c>
      <c r="C88" s="34" t="s">
        <v>816</v>
      </c>
      <c r="D88" s="34" t="s">
        <v>817</v>
      </c>
    </row>
    <row r="89" spans="1:4" ht="45" customHeight="1" x14ac:dyDescent="0.25">
      <c r="A89" s="33" t="s">
        <v>818</v>
      </c>
      <c r="B89" s="34" t="s">
        <v>819</v>
      </c>
      <c r="C89" s="34" t="s">
        <v>820</v>
      </c>
      <c r="D89" s="34" t="s">
        <v>821</v>
      </c>
    </row>
    <row r="90" spans="1:4" ht="45" customHeight="1" x14ac:dyDescent="0.25">
      <c r="A90" s="33" t="s">
        <v>80</v>
      </c>
      <c r="B90" s="34" t="s">
        <v>822</v>
      </c>
      <c r="C90" s="34" t="s">
        <v>823</v>
      </c>
      <c r="D90" s="34" t="s">
        <v>824</v>
      </c>
    </row>
    <row r="91" spans="1:4" ht="45" customHeight="1" x14ac:dyDescent="0.25">
      <c r="A91" s="33" t="s">
        <v>674</v>
      </c>
      <c r="B91" s="34" t="s">
        <v>825</v>
      </c>
      <c r="C91" s="34" t="s">
        <v>826</v>
      </c>
      <c r="D91" s="34" t="s">
        <v>827</v>
      </c>
    </row>
    <row r="92" spans="1:4" ht="45" customHeight="1" x14ac:dyDescent="0.25">
      <c r="A92" s="33" t="s">
        <v>100</v>
      </c>
      <c r="B92" s="34" t="s">
        <v>828</v>
      </c>
      <c r="C92" s="34" t="s">
        <v>829</v>
      </c>
      <c r="D92" s="34" t="s">
        <v>830</v>
      </c>
    </row>
    <row r="93" spans="1:4" ht="45" customHeight="1" x14ac:dyDescent="0.25">
      <c r="A93" s="33" t="s">
        <v>831</v>
      </c>
      <c r="B93" s="34" t="s">
        <v>832</v>
      </c>
      <c r="C93" s="34" t="s">
        <v>833</v>
      </c>
      <c r="D93" s="34" t="s">
        <v>834</v>
      </c>
    </row>
    <row r="94" spans="1:4" ht="42" customHeight="1" x14ac:dyDescent="0.25">
      <c r="A94" s="180" t="s">
        <v>835</v>
      </c>
      <c r="B94" s="155"/>
      <c r="C94" s="155"/>
      <c r="D94" s="155"/>
    </row>
    <row r="95" spans="1:4" ht="72" customHeight="1" x14ac:dyDescent="0.25">
      <c r="A95" s="178" t="s">
        <v>836</v>
      </c>
      <c r="B95" s="163"/>
      <c r="C95" s="163"/>
      <c r="D95" s="163"/>
    </row>
  </sheetData>
  <mergeCells count="20">
    <mergeCell ref="A1:D1"/>
    <mergeCell ref="A5:D5"/>
    <mergeCell ref="A4:D4"/>
    <mergeCell ref="A81:D81"/>
    <mergeCell ref="A13:D13"/>
    <mergeCell ref="A31:D31"/>
    <mergeCell ref="A95:D95"/>
    <mergeCell ref="A2:D2"/>
    <mergeCell ref="A42:D42"/>
    <mergeCell ref="A94:D94"/>
    <mergeCell ref="A79:D79"/>
    <mergeCell ref="A6:D6"/>
    <mergeCell ref="A78:D78"/>
    <mergeCell ref="A25:D25"/>
    <mergeCell ref="A80:D80"/>
    <mergeCell ref="A50:D50"/>
    <mergeCell ref="A83:D83"/>
    <mergeCell ref="A59:D59"/>
    <mergeCell ref="A82:D82"/>
    <mergeCell ref="A73:D73"/>
  </mergeCells>
  <pageMargins left="0.75" right="0.75" top="1" bottom="1" header="0.5" footer="0.5"/>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8"/>
  <sheetViews>
    <sheetView showGridLines="0" workbookViewId="0">
      <selection activeCell="H27" sqref="H27"/>
    </sheetView>
  </sheetViews>
  <sheetFormatPr defaultRowHeight="15" x14ac:dyDescent="0.25"/>
  <cols>
    <col min="1" max="1" width="16.85546875" customWidth="1"/>
    <col min="2" max="2" width="43" customWidth="1"/>
    <col min="3" max="3" width="14.5703125" customWidth="1"/>
    <col min="4" max="4" width="17.7109375" customWidth="1"/>
    <col min="5" max="5" width="37.85546875" customWidth="1"/>
    <col min="6" max="6" width="3" customWidth="1"/>
    <col min="7" max="7" width="16" customWidth="1"/>
    <col min="8" max="8" width="37.7109375" customWidth="1"/>
    <col min="9" max="9" width="3" customWidth="1"/>
    <col min="10" max="10" width="26" customWidth="1"/>
    <col min="11" max="13" width="18" customWidth="1"/>
  </cols>
  <sheetData>
    <row r="1" spans="1:13" ht="19.5" customHeight="1" x14ac:dyDescent="0.3">
      <c r="A1" s="186" t="s">
        <v>837</v>
      </c>
      <c r="B1" s="155"/>
      <c r="C1" s="155"/>
      <c r="D1" s="155"/>
      <c r="E1" s="155"/>
    </row>
    <row r="2" spans="1:13" ht="34.15" customHeight="1" x14ac:dyDescent="0.25">
      <c r="A2" s="184" t="s">
        <v>838</v>
      </c>
      <c r="B2" s="155"/>
      <c r="C2" s="155"/>
      <c r="D2" s="155"/>
      <c r="E2" s="155"/>
      <c r="F2" s="55"/>
      <c r="G2" s="55"/>
      <c r="H2" s="55"/>
      <c r="I2" s="55"/>
      <c r="J2" s="55"/>
      <c r="K2" s="55"/>
      <c r="L2" s="55"/>
      <c r="M2" s="55"/>
    </row>
    <row r="4" spans="1:13" ht="28.15" customHeight="1" x14ac:dyDescent="0.25">
      <c r="A4" s="51" t="s">
        <v>2</v>
      </c>
      <c r="B4" s="51" t="s">
        <v>3</v>
      </c>
      <c r="C4" s="51" t="s">
        <v>4</v>
      </c>
      <c r="D4" s="51" t="s">
        <v>5</v>
      </c>
      <c r="E4" s="51" t="s">
        <v>6</v>
      </c>
      <c r="G4" s="183" t="s">
        <v>839</v>
      </c>
      <c r="H4" s="155"/>
      <c r="J4" s="39" t="s">
        <v>840</v>
      </c>
      <c r="K4" s="39" t="s">
        <v>317</v>
      </c>
    </row>
    <row r="5" spans="1:13" ht="28.5" customHeight="1" x14ac:dyDescent="0.25">
      <c r="A5" s="50">
        <v>1</v>
      </c>
      <c r="B5" s="49" t="s">
        <v>841</v>
      </c>
      <c r="C5" s="57" t="s">
        <v>10</v>
      </c>
      <c r="D5" s="41" t="s">
        <v>11</v>
      </c>
      <c r="E5" s="41" t="s">
        <v>842</v>
      </c>
      <c r="G5" s="52" t="s">
        <v>843</v>
      </c>
      <c r="H5" s="53">
        <f>SUM(K5:K19)</f>
        <v>10</v>
      </c>
      <c r="J5" s="42" t="s">
        <v>841</v>
      </c>
      <c r="K5" s="40">
        <f>IF(C5="დიახ",2,0)</f>
        <v>2</v>
      </c>
    </row>
    <row r="6" spans="1:13" ht="58.5" customHeight="1" x14ac:dyDescent="0.25">
      <c r="A6" s="50">
        <v>2</v>
      </c>
      <c r="B6" s="49" t="s">
        <v>844</v>
      </c>
      <c r="C6" s="57" t="s">
        <v>845</v>
      </c>
      <c r="D6" s="48" t="s">
        <v>846</v>
      </c>
      <c r="E6" s="41" t="s">
        <v>847</v>
      </c>
      <c r="G6" s="52" t="s">
        <v>848</v>
      </c>
      <c r="H6" s="54" t="str">
        <f>IF(C11="დიახ","ლიზინგი არ არის - გამოიყენეთ საბრუნავი კაპიტალის პროდუქტი",IF(C14="დიახ","თავიდან აცილება/რესტრუქტურიზაცია: ლიზინგის ვადა აქტივის სასარგებლო სიცოცხლეს აღემატება",IF(H5&gt;=8,"ლიზინგი ყველაზე შესაფერისია",IF(H5&gt;=5,"ლიზინგი შეიძლება შესაფერისი იყოს - შეადარეთ სესხს","სტანდარტული სესხი ან სხვა პროდუქტი შეიძლება უკეთ შეესაბამებოდეს"))))</f>
        <v>ლიზინგი ყველაზე შესაფერისია</v>
      </c>
      <c r="J6" s="42" t="s">
        <v>844</v>
      </c>
      <c r="K6" s="40">
        <f>0</f>
        <v>0</v>
      </c>
    </row>
    <row r="7" spans="1:13" ht="62.25" customHeight="1" x14ac:dyDescent="0.25">
      <c r="A7" s="50">
        <v>3</v>
      </c>
      <c r="B7" s="49" t="s">
        <v>849</v>
      </c>
      <c r="C7" s="57" t="s">
        <v>10</v>
      </c>
      <c r="D7" s="41" t="s">
        <v>11</v>
      </c>
      <c r="E7" s="41" t="s">
        <v>850</v>
      </c>
      <c r="G7" s="52" t="s">
        <v>453</v>
      </c>
      <c r="H7" s="53" t="str">
        <f>IF(C11="დიახ","საჭიროება არის ლიკვიდობა/საბრუნავი კაპიტალი და არა აქტივის შეძენა.",IF(C14="დიახ","მოთხოვნილი ვადა აქტივის სასარგებლო სიცოცხლეზე გრძელია.",IF(H5&gt;=8,"კონკრეტული, იდენტიფიცირებული  აქტივი, უზრუნველყოფის უპირატესობა და დაფარვის ლოგიკა ლიზინგს უჭერს მხარს.",IF(H5&gt;=5,"ლიზინგის ზოგი პირობა დადებითია, მაგრამ უზრუნველყოფა, აქტივის ხარისხი და ხარჯის შედარება უნდა შემოწმდეს.","ლიზინგის მაჩვენებლები სუსტია; განიხილეთ სტანდარტული სესხი ან სხვა დაფინანსება."))))</f>
        <v>კონკრეტული, იდენტიფიცირებული  აქტივი, უზრუნველყოფის უპირატესობა და დაფარვის ლოგიკა ლიზინგს უჭერს მხარს.</v>
      </c>
      <c r="J7" s="42" t="s">
        <v>849</v>
      </c>
      <c r="K7" s="40">
        <f>IF(C7="დიახ",2,0)</f>
        <v>2</v>
      </c>
    </row>
    <row r="8" spans="1:13" ht="103.15" customHeight="1" x14ac:dyDescent="0.25">
      <c r="A8" s="50">
        <v>4</v>
      </c>
      <c r="B8" s="49" t="s">
        <v>851</v>
      </c>
      <c r="C8" s="57" t="s">
        <v>10</v>
      </c>
      <c r="D8" s="41" t="s">
        <v>339</v>
      </c>
      <c r="E8" s="41" t="s">
        <v>852</v>
      </c>
      <c r="G8" s="52" t="s">
        <v>853</v>
      </c>
      <c r="H8" s="53" t="str">
        <f>IF(C17&lt;&gt;"დიახ","სავალუტო შეუსაბამობა: ყურადღებით შეადარეთ GEL და სავალუტო ვარიანტები. ","")&amp;IF(C13="დიახ","სპეციფიკური/დაბალი გადაყიდვის აქტივი: მოსალოდნელია უფრო მაღალი თანამონაწილეობა ან დამატებითი უზრუნველყოფა. ","")&amp;IF(C15&lt;&gt;"დიახ","აქტივის ფულადი ნაკადით დაფარვა გაურკვეველია: გამოთვალეთ გადახდის უნარი. ","")</f>
        <v xml:space="preserve">სპეციფიკური/დაბალი გადაყიდვის აქტივი: მოსალოდნელია უფრო მაღალი თანამონაწილეობა ან დამატებითი უზრუნველყოფა. აქტივის ფულადი ნაკადით დაფარვა გაურკვეველია: გამოთვალეთ გადახდის უნარი. </v>
      </c>
      <c r="J8" s="42" t="s">
        <v>851</v>
      </c>
      <c r="K8" s="40">
        <f>IF(C8="დიახ",2,IF(C8="ნაწილობრივ",1,0))</f>
        <v>2</v>
      </c>
    </row>
    <row r="9" spans="1:13" ht="42.75" customHeight="1" x14ac:dyDescent="0.25">
      <c r="A9" s="50">
        <v>5</v>
      </c>
      <c r="B9" s="49" t="s">
        <v>854</v>
      </c>
      <c r="C9" s="57" t="s">
        <v>10</v>
      </c>
      <c r="D9" s="41" t="s">
        <v>11</v>
      </c>
      <c r="E9" s="41" t="s">
        <v>855</v>
      </c>
      <c r="G9" s="52" t="s">
        <v>856</v>
      </c>
      <c r="H9" s="53" t="str">
        <f>IF(C10="დიახ",IF(C6="სასოფლო-სამეურნეო ტექნიკა","RDA-ის შეღავათიანი აგროლიზინგი",IF(OR(C6="დანადგარები/აღჭურვილობა",C6="სამშენებლო ტექნიკა",C6="სამედიცინო აღჭურვილობა"),"Enterprise Georgia / სტანდარტული ფინანსური ლიზინგი","სუბსიდირებული ან სტანდარტული ლიზინგი")),IF(C6="ავტომობილი/ავტოპარკი","ავტომობილის / ავტოპარკის ლიზინგი",IF(C6="სამშენებლო ტექნიკა","სამშენებლო ტექნიკის ლიზინგი",IF(C6="სამედიცინო აღჭურვილობა","სამედიცინო აღჭურვილობის ლიზინგი",IF(C6="სასოფლო-სამეურნეო ტექნიკა","სასოფლო-სამეურნეო ტექნიკის ლიზინგი","სტანდარტული ფინანსური ლიზინგი")))))</f>
        <v>Enterprise Georgia / სტანდარტული ფინანსური ლიზინგი</v>
      </c>
      <c r="J9" s="42" t="s">
        <v>854</v>
      </c>
      <c r="K9" s="40">
        <f>IF(C9="დიახ",1,0)</f>
        <v>1</v>
      </c>
    </row>
    <row r="10" spans="1:13" ht="28.5" customHeight="1" x14ac:dyDescent="0.25">
      <c r="A10" s="50">
        <v>6</v>
      </c>
      <c r="B10" s="49" t="s">
        <v>857</v>
      </c>
      <c r="C10" s="57" t="s">
        <v>10</v>
      </c>
      <c r="D10" s="41" t="s">
        <v>144</v>
      </c>
      <c r="E10" s="41" t="s">
        <v>858</v>
      </c>
      <c r="J10" s="42" t="s">
        <v>857</v>
      </c>
      <c r="K10" s="40">
        <f>IF(C10="დიახ",1,0)</f>
        <v>1</v>
      </c>
    </row>
    <row r="11" spans="1:13" ht="42.75" customHeight="1" x14ac:dyDescent="0.25">
      <c r="A11" s="50">
        <v>7</v>
      </c>
      <c r="B11" s="49" t="s">
        <v>859</v>
      </c>
      <c r="C11" s="57" t="s">
        <v>55</v>
      </c>
      <c r="D11" s="41" t="s">
        <v>11</v>
      </c>
      <c r="E11" s="41" t="s">
        <v>860</v>
      </c>
      <c r="J11" s="42" t="s">
        <v>859</v>
      </c>
      <c r="K11" s="40">
        <f>IF(C11="დიახ",-5,0)</f>
        <v>0</v>
      </c>
    </row>
    <row r="12" spans="1:13" ht="28.5" customHeight="1" x14ac:dyDescent="0.25">
      <c r="A12" s="50">
        <v>8</v>
      </c>
      <c r="B12" s="49" t="s">
        <v>861</v>
      </c>
      <c r="C12" s="57" t="s">
        <v>55</v>
      </c>
      <c r="D12" s="41" t="s">
        <v>11</v>
      </c>
      <c r="E12" s="41" t="s">
        <v>862</v>
      </c>
      <c r="J12" s="42" t="s">
        <v>861</v>
      </c>
      <c r="K12" s="40">
        <f>IF(C12="დიახ",-2,0)</f>
        <v>0</v>
      </c>
    </row>
    <row r="13" spans="1:13" ht="28.5" customHeight="1" x14ac:dyDescent="0.25">
      <c r="A13" s="50">
        <v>9</v>
      </c>
      <c r="B13" s="95" t="s">
        <v>863</v>
      </c>
      <c r="C13" s="57" t="s">
        <v>10</v>
      </c>
      <c r="D13" s="41" t="s">
        <v>11</v>
      </c>
      <c r="E13" s="41" t="s">
        <v>864</v>
      </c>
      <c r="J13" s="42" t="s">
        <v>865</v>
      </c>
      <c r="K13" s="40">
        <f>IF(C13="დიახ",-1,0)</f>
        <v>-1</v>
      </c>
    </row>
    <row r="14" spans="1:13" ht="42.75" customHeight="1" x14ac:dyDescent="0.25">
      <c r="A14" s="50">
        <v>10</v>
      </c>
      <c r="B14" s="49" t="s">
        <v>866</v>
      </c>
      <c r="C14" s="57" t="s">
        <v>55</v>
      </c>
      <c r="D14" s="41" t="s">
        <v>11</v>
      </c>
      <c r="E14" s="41" t="s">
        <v>867</v>
      </c>
      <c r="J14" s="42" t="s">
        <v>866</v>
      </c>
      <c r="K14" s="40">
        <f>IF(C14="დიახ",-4,0)</f>
        <v>0</v>
      </c>
    </row>
    <row r="15" spans="1:13" ht="28.5" customHeight="1" x14ac:dyDescent="0.25">
      <c r="A15" s="50">
        <v>11</v>
      </c>
      <c r="B15" s="49" t="s">
        <v>868</v>
      </c>
      <c r="C15" s="57" t="s">
        <v>55</v>
      </c>
      <c r="D15" s="41" t="s">
        <v>144</v>
      </c>
      <c r="E15" s="41" t="s">
        <v>869</v>
      </c>
      <c r="J15" s="42" t="s">
        <v>868</v>
      </c>
      <c r="K15" s="40">
        <f>IF(C15="დიახ",2,IF(C15="უცნობია",0,0))</f>
        <v>0</v>
      </c>
    </row>
    <row r="16" spans="1:13" ht="28.5" customHeight="1" x14ac:dyDescent="0.25">
      <c r="A16" s="50">
        <v>12</v>
      </c>
      <c r="B16" s="49" t="s">
        <v>870</v>
      </c>
      <c r="C16" s="57" t="s">
        <v>871</v>
      </c>
      <c r="D16" s="41" t="s">
        <v>872</v>
      </c>
      <c r="E16" s="41" t="s">
        <v>873</v>
      </c>
      <c r="J16" s="42" t="s">
        <v>874</v>
      </c>
      <c r="K16" s="40">
        <f>0</f>
        <v>0</v>
      </c>
    </row>
    <row r="17" spans="1:13" ht="28.5" customHeight="1" x14ac:dyDescent="0.25">
      <c r="A17" s="50">
        <v>13</v>
      </c>
      <c r="B17" s="49" t="s">
        <v>875</v>
      </c>
      <c r="C17" s="57" t="s">
        <v>10</v>
      </c>
      <c r="D17" s="41" t="s">
        <v>147</v>
      </c>
      <c r="E17" s="41" t="s">
        <v>876</v>
      </c>
      <c r="J17" s="42" t="s">
        <v>875</v>
      </c>
      <c r="K17" s="40">
        <f>IF(C17="დიახ",1,IF(C17="ნაწილობრივი",0,-1))</f>
        <v>1</v>
      </c>
    </row>
    <row r="18" spans="1:13" ht="28.5" customHeight="1" x14ac:dyDescent="0.25">
      <c r="A18" s="50">
        <v>14</v>
      </c>
      <c r="B18" s="49" t="s">
        <v>877</v>
      </c>
      <c r="C18" s="57" t="s">
        <v>10</v>
      </c>
      <c r="D18" s="41" t="s">
        <v>144</v>
      </c>
      <c r="E18" s="41" t="s">
        <v>878</v>
      </c>
      <c r="J18" s="42" t="s">
        <v>877</v>
      </c>
      <c r="K18" s="40">
        <f>IF(C18="დიახ",1,IF(C18="უცნობია",0,-1))</f>
        <v>1</v>
      </c>
    </row>
    <row r="19" spans="1:13" ht="28.5" customHeight="1" x14ac:dyDescent="0.25">
      <c r="A19" s="50">
        <v>15</v>
      </c>
      <c r="B19" s="49" t="s">
        <v>879</v>
      </c>
      <c r="C19" s="57" t="s">
        <v>10</v>
      </c>
      <c r="D19" s="41" t="s">
        <v>144</v>
      </c>
      <c r="E19" s="41" t="s">
        <v>880</v>
      </c>
      <c r="J19" s="42" t="s">
        <v>879</v>
      </c>
      <c r="K19" s="40">
        <f>IF(C19="დიახ",1,IF(C19="უცნობია",0,-1))</f>
        <v>1</v>
      </c>
    </row>
    <row r="23" spans="1:13" ht="16.899999999999999" customHeight="1" x14ac:dyDescent="0.3">
      <c r="A23" s="187" t="s">
        <v>881</v>
      </c>
      <c r="B23" s="155"/>
      <c r="C23" s="155"/>
      <c r="D23" s="155"/>
      <c r="E23" s="155"/>
    </row>
    <row r="24" spans="1:13" x14ac:dyDescent="0.25">
      <c r="A24" s="43" t="s">
        <v>882</v>
      </c>
      <c r="B24" s="62">
        <v>250000</v>
      </c>
      <c r="C24" s="48" t="s">
        <v>883</v>
      </c>
      <c r="J24" s="39" t="s">
        <v>884</v>
      </c>
    </row>
    <row r="25" spans="1:13" ht="28.5" customHeight="1" x14ac:dyDescent="0.25">
      <c r="A25" s="43" t="s">
        <v>270</v>
      </c>
      <c r="B25" s="56" t="s">
        <v>871</v>
      </c>
      <c r="C25" s="41" t="s">
        <v>885</v>
      </c>
      <c r="J25" s="44" t="s">
        <v>270</v>
      </c>
      <c r="K25" s="44" t="s">
        <v>886</v>
      </c>
      <c r="L25" s="44" t="s">
        <v>887</v>
      </c>
    </row>
    <row r="26" spans="1:13" ht="28.5" customHeight="1" x14ac:dyDescent="0.25">
      <c r="A26" s="43" t="s">
        <v>888</v>
      </c>
      <c r="B26" s="63">
        <v>0.15</v>
      </c>
      <c r="C26" s="48" t="s">
        <v>889</v>
      </c>
      <c r="J26" s="42" t="s">
        <v>871</v>
      </c>
      <c r="K26" s="45">
        <v>0.19</v>
      </c>
      <c r="L26" s="45">
        <v>0.13</v>
      </c>
    </row>
    <row r="27" spans="1:13" x14ac:dyDescent="0.25">
      <c r="A27" s="43" t="s">
        <v>890</v>
      </c>
      <c r="B27" s="56">
        <v>60</v>
      </c>
      <c r="C27" s="48" t="s">
        <v>891</v>
      </c>
      <c r="J27" s="42" t="s">
        <v>276</v>
      </c>
      <c r="K27" s="45">
        <v>0.14000000000000001</v>
      </c>
      <c r="L27" s="45">
        <v>7.2499999999999995E-2</v>
      </c>
    </row>
    <row r="28" spans="1:13" ht="28.5" customHeight="1" x14ac:dyDescent="0.25">
      <c r="A28" s="43" t="s">
        <v>892</v>
      </c>
      <c r="B28" s="64">
        <f>VLOOKUP(B25,$J$25:$L$27,2,FALSE)</f>
        <v>0.19</v>
      </c>
      <c r="C28" s="58" t="s">
        <v>893</v>
      </c>
      <c r="J28" s="42" t="s">
        <v>279</v>
      </c>
      <c r="K28" s="45">
        <v>0.13</v>
      </c>
      <c r="L28" s="45">
        <v>6.25E-2</v>
      </c>
    </row>
    <row r="29" spans="1:13" ht="28.5" customHeight="1" x14ac:dyDescent="0.25">
      <c r="A29" s="43" t="s">
        <v>894</v>
      </c>
      <c r="B29" s="64">
        <f>VLOOKUP(B25,$J$25:$L$27,3,FALSE)</f>
        <v>0.13</v>
      </c>
      <c r="C29" s="59" t="s">
        <v>895</v>
      </c>
    </row>
    <row r="30" spans="1:13" ht="28.5" customHeight="1" x14ac:dyDescent="0.25">
      <c r="A30" s="43" t="s">
        <v>515</v>
      </c>
      <c r="B30" s="65">
        <v>5.0000000000000001E-3</v>
      </c>
      <c r="C30" s="59" t="s">
        <v>896</v>
      </c>
      <c r="J30" s="46" t="s">
        <v>897</v>
      </c>
      <c r="K30" s="170" t="s">
        <v>898</v>
      </c>
      <c r="L30" s="155"/>
      <c r="M30" s="155"/>
    </row>
    <row r="31" spans="1:13" ht="28.5" customHeight="1" x14ac:dyDescent="0.25">
      <c r="A31" s="43" t="s">
        <v>899</v>
      </c>
      <c r="B31" s="66">
        <f>B24*(1-B26)</f>
        <v>212500</v>
      </c>
      <c r="C31" s="48" t="s">
        <v>900</v>
      </c>
    </row>
    <row r="32" spans="1:13" ht="28.5" customHeight="1" x14ac:dyDescent="0.25">
      <c r="A32" s="43" t="s">
        <v>901</v>
      </c>
      <c r="B32" s="67">
        <f>-PMT(B28/12,B27,B31)</f>
        <v>5512.3671177210927</v>
      </c>
      <c r="C32" s="59" t="s">
        <v>902</v>
      </c>
    </row>
    <row r="33" spans="1:5" ht="28.5" customHeight="1" x14ac:dyDescent="0.25">
      <c r="A33" s="43" t="s">
        <v>903</v>
      </c>
      <c r="B33" s="68">
        <f>-PMT(B29/12,B27,B31)</f>
        <v>4835.028021897605</v>
      </c>
      <c r="C33" s="59" t="s">
        <v>902</v>
      </c>
    </row>
    <row r="34" spans="1:5" ht="28.5" customHeight="1" x14ac:dyDescent="0.25">
      <c r="A34" s="43" t="s">
        <v>904</v>
      </c>
      <c r="B34" s="67">
        <f>B31*B30</f>
        <v>1062.5</v>
      </c>
      <c r="C34" s="59" t="s">
        <v>905</v>
      </c>
    </row>
    <row r="35" spans="1:5" ht="28.5" customHeight="1" x14ac:dyDescent="0.25">
      <c r="A35" s="43" t="s">
        <v>906</v>
      </c>
      <c r="B35" s="67">
        <f>B32*B27</f>
        <v>330742.02706326556</v>
      </c>
      <c r="C35" s="59" t="s">
        <v>907</v>
      </c>
    </row>
    <row r="36" spans="1:5" ht="28.5" customHeight="1" x14ac:dyDescent="0.25">
      <c r="A36" s="43" t="s">
        <v>908</v>
      </c>
      <c r="B36" s="67">
        <f>B33*B27+B34</f>
        <v>291164.18131385627</v>
      </c>
      <c r="C36" s="59" t="s">
        <v>909</v>
      </c>
    </row>
    <row r="37" spans="1:5" ht="28.5" customHeight="1" x14ac:dyDescent="0.25">
      <c r="A37" s="43" t="s">
        <v>910</v>
      </c>
      <c r="B37" s="67">
        <f>B35-B36</f>
        <v>39577.845749409287</v>
      </c>
      <c r="C37" s="59" t="s">
        <v>911</v>
      </c>
    </row>
    <row r="38" spans="1:5" ht="28.5" customHeight="1" x14ac:dyDescent="0.25">
      <c r="A38" s="43" t="s">
        <v>912</v>
      </c>
      <c r="B38" s="67">
        <f>B32-B33</f>
        <v>677.3390958234877</v>
      </c>
      <c r="C38" s="59" t="s">
        <v>913</v>
      </c>
    </row>
    <row r="41" spans="1:5" x14ac:dyDescent="0.25">
      <c r="A41" s="185" t="s">
        <v>914</v>
      </c>
      <c r="B41" s="155"/>
      <c r="C41" s="60"/>
      <c r="D41" s="60"/>
      <c r="E41" s="60"/>
    </row>
    <row r="42" spans="1:5" x14ac:dyDescent="0.25">
      <c r="A42" s="47" t="s">
        <v>552</v>
      </c>
      <c r="B42" s="61" t="s">
        <v>553</v>
      </c>
    </row>
    <row r="43" spans="1:5" ht="42.75" customHeight="1" x14ac:dyDescent="0.25">
      <c r="A43" s="43" t="s">
        <v>915</v>
      </c>
      <c r="B43" s="41" t="s">
        <v>916</v>
      </c>
    </row>
    <row r="44" spans="1:5" ht="42.75" customHeight="1" x14ac:dyDescent="0.25">
      <c r="A44" s="43" t="s">
        <v>917</v>
      </c>
      <c r="B44" s="41" t="s">
        <v>918</v>
      </c>
    </row>
    <row r="45" spans="1:5" ht="28.5" customHeight="1" x14ac:dyDescent="0.25">
      <c r="A45" s="43" t="s">
        <v>919</v>
      </c>
      <c r="B45" s="41" t="s">
        <v>920</v>
      </c>
    </row>
    <row r="46" spans="1:5" ht="28.5" customHeight="1" x14ac:dyDescent="0.25">
      <c r="A46" s="43" t="s">
        <v>921</v>
      </c>
      <c r="B46" s="41" t="s">
        <v>922</v>
      </c>
    </row>
    <row r="47" spans="1:5" ht="28.5" customHeight="1" x14ac:dyDescent="0.25">
      <c r="A47" s="43" t="s">
        <v>923</v>
      </c>
      <c r="B47" s="41" t="s">
        <v>924</v>
      </c>
    </row>
    <row r="48" spans="1:5" ht="28.5" customHeight="1" x14ac:dyDescent="0.25">
      <c r="A48" s="43" t="s">
        <v>925</v>
      </c>
      <c r="B48" s="41" t="s">
        <v>926</v>
      </c>
    </row>
  </sheetData>
  <mergeCells count="6">
    <mergeCell ref="K30:M30"/>
    <mergeCell ref="G4:H4"/>
    <mergeCell ref="A2:E2"/>
    <mergeCell ref="A41:B41"/>
    <mergeCell ref="A1:E1"/>
    <mergeCell ref="A23:E23"/>
  </mergeCells>
  <dataValidations count="7">
    <dataValidation type="list" errorTitle="Invalid input" error="Select a value from the dropdown list." sqref="C5 C7 C9 C11:C14" xr:uid="{00000000-0002-0000-0600-000000000000}">
      <formula1>"დიახ,არა"</formula1>
    </dataValidation>
    <dataValidation type="list" errorTitle="Invalid input" error="Select a value from the dropdown list." sqref="C6" xr:uid="{00000000-0002-0000-0600-000001000000}">
      <formula1>"დანადგარები/აღჭურვილობა,ავტომობილი/ავტოპარკი,სამშენებლო ტექნიკა,სამედიცინო აღჭურვილობა,სასოფლო-სამეურნეო ტექნიკა,კომერციული უძრავი ქონება,სხვა"</formula1>
    </dataValidation>
    <dataValidation type="list" errorTitle="Invalid input" error="Select a value from the dropdown list." sqref="C8" xr:uid="{00000000-0002-0000-0600-000002000000}">
      <formula1>"დიახ,არა,ნაწილობრივ"</formula1>
    </dataValidation>
    <dataValidation type="list" errorTitle="Invalid input" error="Select a value from the dropdown list." sqref="C10 C15 C18:C19" xr:uid="{00000000-0002-0000-0600-000003000000}">
      <formula1>"დიახ,არა,უცნობია"</formula1>
    </dataValidation>
    <dataValidation type="list" errorTitle="Invalid input" error="Select a value from the dropdown list." sqref="C16" xr:uid="{00000000-0002-0000-0600-000004000000}">
      <formula1>"GEL,USD,EUR"</formula1>
    </dataValidation>
    <dataValidation type="list" errorTitle="Invalid input" error="Select a value from the dropdown list." sqref="C17" xr:uid="{00000000-0002-0000-0600-000005000000}">
      <formula1>"დიახ,არა,ნაწილობრივი"</formula1>
    </dataValidation>
    <dataValidation type="list" sqref="B25" xr:uid="{00000000-0002-0000-0600-000006000000}">
      <formula1>"GEL,USD,EUR"</formula1>
    </dataValidation>
  </dataValidations>
  <pageMargins left="0.75" right="0.75" top="1" bottom="1" header="0.5" footer="0.5"/>
  <pageSetup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76"/>
  <sheetViews>
    <sheetView showGridLines="0" tabSelected="1" zoomScale="101" workbookViewId="0">
      <selection activeCell="D11" sqref="D11"/>
    </sheetView>
  </sheetViews>
  <sheetFormatPr defaultRowHeight="15" x14ac:dyDescent="0.25"/>
  <cols>
    <col min="1" max="1" width="13.85546875" customWidth="1"/>
    <col min="2" max="2" width="36.7109375" customWidth="1"/>
    <col min="3" max="3" width="24" customWidth="1"/>
    <col min="4" max="4" width="21.7109375" customWidth="1"/>
    <col min="5" max="5" width="26.7109375" customWidth="1"/>
    <col min="6" max="6" width="11.7109375" customWidth="1"/>
    <col min="7" max="7" width="17.140625" customWidth="1"/>
    <col min="8" max="8" width="28.7109375" customWidth="1"/>
    <col min="9" max="9" width="10.7109375" customWidth="1"/>
    <col min="10" max="10" width="30" customWidth="1"/>
    <col min="11" max="14" width="18" customWidth="1"/>
    <col min="15" max="15" width="20" customWidth="1"/>
  </cols>
  <sheetData>
    <row r="1" spans="1:12" ht="19.5" customHeight="1" x14ac:dyDescent="0.25">
      <c r="A1" s="154" t="s">
        <v>313</v>
      </c>
      <c r="B1" s="155"/>
      <c r="C1" s="155"/>
      <c r="D1" s="155"/>
      <c r="E1" s="155"/>
      <c r="F1" s="120"/>
      <c r="G1" s="120"/>
      <c r="H1" s="120"/>
      <c r="I1" s="120"/>
      <c r="J1" s="120"/>
      <c r="K1" s="120"/>
      <c r="L1" s="120"/>
    </row>
    <row r="2" spans="1:12" ht="46.15" customHeight="1" x14ac:dyDescent="0.25">
      <c r="A2" s="164" t="s">
        <v>314</v>
      </c>
      <c r="B2" s="155"/>
      <c r="C2" s="155"/>
      <c r="D2" s="155"/>
      <c r="E2" s="155"/>
      <c r="F2" s="120"/>
      <c r="G2" s="120"/>
      <c r="H2" s="120"/>
      <c r="I2" s="120"/>
      <c r="J2" s="120"/>
      <c r="K2" s="120"/>
      <c r="L2" s="120"/>
    </row>
    <row r="3" spans="1:12" x14ac:dyDescent="0.25">
      <c r="A3" s="120"/>
      <c r="B3" s="120"/>
      <c r="C3" s="120"/>
      <c r="D3" s="120"/>
      <c r="E3" s="120"/>
      <c r="F3" s="120"/>
      <c r="G3" s="120"/>
      <c r="H3" s="120"/>
      <c r="I3" s="120"/>
      <c r="J3" s="120"/>
      <c r="K3" s="120"/>
      <c r="L3" s="120"/>
    </row>
    <row r="4" spans="1:12" ht="30" x14ac:dyDescent="0.25">
      <c r="A4" s="121" t="s">
        <v>2</v>
      </c>
      <c r="B4" s="121" t="s">
        <v>3</v>
      </c>
      <c r="C4" s="121" t="s">
        <v>4</v>
      </c>
      <c r="D4" s="121" t="s">
        <v>5</v>
      </c>
      <c r="E4" s="121" t="s">
        <v>6</v>
      </c>
      <c r="F4" s="120"/>
      <c r="G4" s="161" t="s">
        <v>315</v>
      </c>
      <c r="H4" s="155"/>
      <c r="I4" s="120"/>
      <c r="J4" s="122" t="s">
        <v>316</v>
      </c>
      <c r="K4" s="122" t="s">
        <v>317</v>
      </c>
      <c r="L4" s="120"/>
    </row>
    <row r="5" spans="1:12" ht="42.75" customHeight="1" x14ac:dyDescent="0.25">
      <c r="A5" s="123">
        <v>1</v>
      </c>
      <c r="B5" s="124" t="s">
        <v>318</v>
      </c>
      <c r="C5" s="125" t="s">
        <v>10</v>
      </c>
      <c r="D5" s="124" t="s">
        <v>11</v>
      </c>
      <c r="E5" s="124" t="s">
        <v>319</v>
      </c>
      <c r="F5" s="120"/>
      <c r="G5" s="144" t="s">
        <v>320</v>
      </c>
      <c r="H5" s="143">
        <f>SUM(K5:K16)</f>
        <v>16</v>
      </c>
      <c r="I5" s="120"/>
      <c r="J5" s="124" t="s">
        <v>318</v>
      </c>
      <c r="K5" s="124">
        <f>IF(C5="დიახ",2,-5)</f>
        <v>2</v>
      </c>
      <c r="L5" s="120"/>
    </row>
    <row r="6" spans="1:12" ht="28.5" customHeight="1" x14ac:dyDescent="0.25">
      <c r="A6" s="123">
        <v>2</v>
      </c>
      <c r="B6" s="124" t="s">
        <v>321</v>
      </c>
      <c r="C6" s="125" t="s">
        <v>322</v>
      </c>
      <c r="D6" s="124" t="s">
        <v>323</v>
      </c>
      <c r="E6" s="124" t="s">
        <v>324</v>
      </c>
      <c r="F6" s="120"/>
      <c r="G6" s="144" t="s">
        <v>325</v>
      </c>
      <c r="H6" s="145" t="str">
        <f>IF(C5="არა","ჰეჯირება საჭირო არ არის",IF(H5&gt;=8,"ჰეჯირება მკაცრად რეკომენდებულია",IF(H5&gt;=5,"განიხილეთ ნაწილობრივი ჰეჯირება",IF(H5&gt;=2,"შეამოწმე პირველ რიგში ბუნებრივი ჰეჯირება","არ არის ჰეჯირების საჭიროება, თუ მენეჯმენტს სპეციფიური მოთხოვნა არ აქვს"))))</f>
        <v>ჰეჯირება მკაცრად რეკომენდებულია</v>
      </c>
      <c r="I6" s="120"/>
      <c r="J6" s="124" t="s">
        <v>321</v>
      </c>
      <c r="K6" s="124">
        <f>IF(OR(C6="იმპორტიორის კრედიტორული დავალიანება",C6="სავალუტო სესხი",C6="შერეული"),2,IF(C6="ექსპორტიორის დებიტორული დავალიანება",1,0))</f>
        <v>2</v>
      </c>
      <c r="L6" s="120"/>
    </row>
    <row r="7" spans="1:12" ht="28.5" customHeight="1" x14ac:dyDescent="0.25">
      <c r="A7" s="123">
        <v>3</v>
      </c>
      <c r="B7" s="124" t="s">
        <v>326</v>
      </c>
      <c r="C7" s="125" t="s">
        <v>276</v>
      </c>
      <c r="D7" s="124" t="s">
        <v>327</v>
      </c>
      <c r="E7" s="124" t="s">
        <v>328</v>
      </c>
      <c r="F7" s="120"/>
      <c r="G7" s="144" t="s">
        <v>329</v>
      </c>
      <c r="H7" s="143" t="str">
        <f>IF(C15="არა","საბანკო პროდუქტზე წვდომა დადასტურებული არ არის",IF(C11="დიახ","პირველ რიგში ბუნებრივი ჰეჯირება / ფასის კორექტირება",IF(C14="დიახ","სავალუტო ფორვარდი დადასტურებული რისკის ზეგავლენისთვის",IF(C16="დიახ","ნაწილობრივი სავალუტო ფორვარდი / ეტაპობრივი ჰეჯირება","სავალუტო ფორვარდი, ბანკის კოტირების გათვალისწინებით"))))</f>
        <v>სავალუტო ფორვარდი, ბანკის კოტირების გათვალისწინებით</v>
      </c>
      <c r="I7" s="120"/>
      <c r="J7" s="124" t="s">
        <v>326</v>
      </c>
      <c r="K7" s="124">
        <f>IF(OR(C7="USD",C7="EUR"),1,0)</f>
        <v>1</v>
      </c>
      <c r="L7" s="120"/>
    </row>
    <row r="8" spans="1:12" ht="28.5" customHeight="1" x14ac:dyDescent="0.25">
      <c r="A8" s="123">
        <v>4</v>
      </c>
      <c r="B8" s="153" t="s">
        <v>330</v>
      </c>
      <c r="C8" s="127">
        <v>100000</v>
      </c>
      <c r="D8" s="124" t="s">
        <v>331</v>
      </c>
      <c r="E8" s="124" t="s">
        <v>332</v>
      </c>
      <c r="F8" s="120"/>
      <c r="G8" s="144" t="s">
        <v>333</v>
      </c>
      <c r="H8" s="146">
        <f>IF(C16="დიახ",50%,IF(H5&gt;=8,80%,IF(H5&gt;=5,50%,0%)))</f>
        <v>0.8</v>
      </c>
      <c r="I8" s="120"/>
      <c r="J8" s="124" t="s">
        <v>330</v>
      </c>
      <c r="K8" s="124">
        <f>IF(ABS(C8)&gt;=50000,2,IF(ABS(C8)&gt;=10000,1,0))</f>
        <v>2</v>
      </c>
      <c r="L8" s="120"/>
    </row>
    <row r="9" spans="1:12" ht="36.4" customHeight="1" x14ac:dyDescent="0.25">
      <c r="A9" s="123">
        <v>5</v>
      </c>
      <c r="B9" s="153" t="s">
        <v>334</v>
      </c>
      <c r="C9" s="128">
        <v>45</v>
      </c>
      <c r="D9" s="124" t="s">
        <v>45</v>
      </c>
      <c r="E9" s="124" t="s">
        <v>335</v>
      </c>
      <c r="F9" s="120"/>
      <c r="G9" s="144" t="s">
        <v>336</v>
      </c>
      <c r="H9" s="143" t="str">
        <f>IF(C12="დიახ","სავალუტო სესხისა და შემოსავლის ვალუტის შეუსაბამობა: განიხილეთ ჰეჯირება ან რეფინანსირება შემოსავლის ვალუტაში.",IF(C11="დიახ","ფასში გადატანის შესაძლებლობა არსებობს: დერივატივების შეძენამდე შეაფასეთ ბუნებრივი ჰეჯირება.",IF(C15&lt;&gt;"დიახ","ბანკის სახაზინო სამსახურთან დაადასტურეთ პროდუქტზე წვდომა და უზრუნველყოფის/მარჟის მოთხოვნები.","ჰეჯირება გამოიყენეთ მერყეობის შესამცირებლად და არა სპეკულაციისთვის.")))</f>
        <v>სავალუტო სესხისა და შემოსავლის ვალუტის შეუსაბამობა: განიხილეთ ჰეჯირება ან რეფინანსირება შემოსავლის ვალუტაში.</v>
      </c>
      <c r="I9" s="120"/>
      <c r="J9" s="124" t="s">
        <v>334</v>
      </c>
      <c r="K9" s="124">
        <f>IF(C9&gt;=90,2,IF(C9&gt;=30,1,0))</f>
        <v>1</v>
      </c>
      <c r="L9" s="120"/>
    </row>
    <row r="10" spans="1:12" ht="28.5" customHeight="1" x14ac:dyDescent="0.25">
      <c r="A10" s="123">
        <v>6</v>
      </c>
      <c r="B10" s="124" t="s">
        <v>337</v>
      </c>
      <c r="C10" s="125" t="s">
        <v>338</v>
      </c>
      <c r="D10" s="124" t="s">
        <v>339</v>
      </c>
      <c r="E10" s="124" t="s">
        <v>340</v>
      </c>
      <c r="F10" s="120"/>
      <c r="G10" s="120"/>
      <c r="H10" s="120"/>
      <c r="I10" s="120"/>
      <c r="J10" s="124" t="s">
        <v>337</v>
      </c>
      <c r="K10" s="124">
        <f>IF(C10="დიახ",2,IF(C10="ნაწილობრივ",1,0))</f>
        <v>1</v>
      </c>
      <c r="L10" s="120"/>
    </row>
    <row r="11" spans="1:12" ht="28.5" customHeight="1" x14ac:dyDescent="0.25">
      <c r="A11" s="123">
        <v>7</v>
      </c>
      <c r="B11" s="124" t="s">
        <v>341</v>
      </c>
      <c r="C11" s="125" t="s">
        <v>55</v>
      </c>
      <c r="D11" s="124" t="s">
        <v>339</v>
      </c>
      <c r="E11" s="124" t="s">
        <v>342</v>
      </c>
      <c r="F11" s="120"/>
      <c r="G11" s="120"/>
      <c r="H11" s="120"/>
      <c r="I11" s="120"/>
      <c r="J11" s="124" t="s">
        <v>341</v>
      </c>
      <c r="K11" s="124">
        <f>IF(C11="არა",2,IF(C11="ნაწილობრივ",1,0))</f>
        <v>2</v>
      </c>
      <c r="L11" s="120"/>
    </row>
    <row r="12" spans="1:12" ht="28.5" customHeight="1" x14ac:dyDescent="0.25">
      <c r="A12" s="123">
        <v>8</v>
      </c>
      <c r="B12" s="124" t="s">
        <v>343</v>
      </c>
      <c r="C12" s="125" t="s">
        <v>10</v>
      </c>
      <c r="D12" s="124" t="s">
        <v>147</v>
      </c>
      <c r="E12" s="124" t="s">
        <v>344</v>
      </c>
      <c r="F12" s="120"/>
      <c r="G12" s="120"/>
      <c r="H12" s="120"/>
      <c r="I12" s="120"/>
      <c r="J12" s="124" t="s">
        <v>343</v>
      </c>
      <c r="K12" s="124">
        <f>IF(C12="დიახ",2,IF(C12="ნაწილობრივი",1,0))</f>
        <v>2</v>
      </c>
      <c r="L12" s="120"/>
    </row>
    <row r="13" spans="1:12" ht="42.75" customHeight="1" x14ac:dyDescent="0.25">
      <c r="A13" s="123">
        <v>9</v>
      </c>
      <c r="B13" s="124" t="s">
        <v>345</v>
      </c>
      <c r="C13" s="125" t="s">
        <v>10</v>
      </c>
      <c r="D13" s="124" t="s">
        <v>144</v>
      </c>
      <c r="E13" s="124" t="s">
        <v>346</v>
      </c>
      <c r="F13" s="120"/>
      <c r="G13" s="120"/>
      <c r="H13" s="120"/>
      <c r="I13" s="120"/>
      <c r="J13" s="124" t="s">
        <v>345</v>
      </c>
      <c r="K13" s="124">
        <f>IF(C13="დიახ",2,IF(C13="უცნობია",1,0))</f>
        <v>2</v>
      </c>
      <c r="L13" s="120"/>
    </row>
    <row r="14" spans="1:12" ht="28.5" customHeight="1" x14ac:dyDescent="0.25">
      <c r="A14" s="123">
        <v>10</v>
      </c>
      <c r="B14" s="124" t="s">
        <v>347</v>
      </c>
      <c r="C14" s="125" t="s">
        <v>55</v>
      </c>
      <c r="D14" s="124" t="s">
        <v>11</v>
      </c>
      <c r="E14" s="124" t="s">
        <v>348</v>
      </c>
      <c r="F14" s="120"/>
      <c r="G14" s="120"/>
      <c r="H14" s="120"/>
      <c r="I14" s="120"/>
      <c r="J14" s="124" t="s">
        <v>347</v>
      </c>
      <c r="K14" s="124">
        <f>IF(C14="დიახ",1,0)</f>
        <v>0</v>
      </c>
      <c r="L14" s="120"/>
    </row>
    <row r="15" spans="1:12" ht="28.5" customHeight="1" x14ac:dyDescent="0.25">
      <c r="A15" s="123">
        <v>11</v>
      </c>
      <c r="B15" s="124" t="s">
        <v>349</v>
      </c>
      <c r="C15" s="125" t="s">
        <v>10</v>
      </c>
      <c r="D15" s="124" t="s">
        <v>144</v>
      </c>
      <c r="E15" s="124" t="s">
        <v>350</v>
      </c>
      <c r="F15" s="120"/>
      <c r="G15" s="120"/>
      <c r="H15" s="120"/>
      <c r="I15" s="120"/>
      <c r="J15" s="124" t="s">
        <v>349</v>
      </c>
      <c r="K15" s="124">
        <f>IF(C15="დიახ",1,IF(C15="უცნობია",0,-2))</f>
        <v>1</v>
      </c>
      <c r="L15" s="120"/>
    </row>
    <row r="16" spans="1:12" ht="28.5" customHeight="1" x14ac:dyDescent="0.25">
      <c r="A16" s="123">
        <v>12</v>
      </c>
      <c r="B16" s="124" t="s">
        <v>351</v>
      </c>
      <c r="C16" s="125" t="s">
        <v>55</v>
      </c>
      <c r="D16" s="124" t="s">
        <v>11</v>
      </c>
      <c r="E16" s="124" t="s">
        <v>352</v>
      </c>
      <c r="F16" s="120"/>
      <c r="G16" s="120"/>
      <c r="H16" s="120"/>
      <c r="I16" s="120"/>
      <c r="J16" s="124" t="s">
        <v>351</v>
      </c>
      <c r="K16" s="124">
        <f>IF(C16="დიახ",1,0)</f>
        <v>0</v>
      </c>
      <c r="L16" s="120"/>
    </row>
    <row r="17" spans="1:12" x14ac:dyDescent="0.25">
      <c r="A17" s="120"/>
      <c r="B17" s="120"/>
      <c r="C17" s="120"/>
      <c r="D17" s="120"/>
      <c r="E17" s="120"/>
      <c r="F17" s="120"/>
      <c r="G17" s="120"/>
      <c r="H17" s="120"/>
      <c r="I17" s="120"/>
      <c r="J17" s="120"/>
      <c r="K17" s="120"/>
      <c r="L17" s="120"/>
    </row>
    <row r="18" spans="1:12" x14ac:dyDescent="0.25">
      <c r="A18" s="120"/>
      <c r="B18" s="120"/>
      <c r="C18" s="120"/>
      <c r="D18" s="120"/>
      <c r="E18" s="120"/>
      <c r="F18" s="120"/>
      <c r="G18" s="120"/>
      <c r="H18" s="120"/>
      <c r="I18" s="120"/>
      <c r="J18" s="120"/>
      <c r="K18" s="120"/>
      <c r="L18" s="120"/>
    </row>
    <row r="19" spans="1:12" x14ac:dyDescent="0.25">
      <c r="A19" s="120"/>
      <c r="B19" s="120"/>
      <c r="C19" s="120"/>
      <c r="D19" s="120"/>
      <c r="E19" s="120"/>
      <c r="F19" s="120"/>
      <c r="G19" s="120"/>
      <c r="H19" s="120"/>
      <c r="I19" s="120"/>
      <c r="J19" s="120"/>
      <c r="K19" s="120"/>
      <c r="L19" s="120"/>
    </row>
    <row r="20" spans="1:12" ht="16.899999999999999" customHeight="1" x14ac:dyDescent="0.25">
      <c r="A20" s="160" t="s">
        <v>353</v>
      </c>
      <c r="B20" s="155"/>
      <c r="C20" s="155"/>
      <c r="D20" s="155"/>
    </row>
    <row r="21" spans="1:12" ht="28.5" customHeight="1" x14ac:dyDescent="0.25">
      <c r="A21" s="151" t="s">
        <v>355</v>
      </c>
      <c r="C21" s="131">
        <f>C8</f>
        <v>100000</v>
      </c>
      <c r="D21" s="124" t="s">
        <v>356</v>
      </c>
    </row>
    <row r="22" spans="1:12" x14ac:dyDescent="0.25">
      <c r="A22" s="130" t="s">
        <v>270</v>
      </c>
      <c r="C22" s="126" t="str">
        <f>C7</f>
        <v>USD</v>
      </c>
      <c r="D22" s="124" t="s">
        <v>365</v>
      </c>
    </row>
    <row r="23" spans="1:12" ht="28.5" customHeight="1" x14ac:dyDescent="0.25">
      <c r="A23" s="151" t="s">
        <v>366</v>
      </c>
      <c r="C23" s="135">
        <v>2.65</v>
      </c>
      <c r="D23" s="124" t="s">
        <v>367</v>
      </c>
    </row>
    <row r="24" spans="1:12" ht="28.5" customHeight="1" x14ac:dyDescent="0.25">
      <c r="A24" s="151" t="s">
        <v>368</v>
      </c>
      <c r="C24" s="136">
        <v>0.1</v>
      </c>
      <c r="D24" s="124" t="s">
        <v>369</v>
      </c>
    </row>
    <row r="25" spans="1:12" ht="30" x14ac:dyDescent="0.25">
      <c r="A25" s="151" t="s">
        <v>370</v>
      </c>
      <c r="C25" s="137">
        <f>C23*(1+C24)</f>
        <v>2.915</v>
      </c>
      <c r="D25" s="124" t="s">
        <v>371</v>
      </c>
    </row>
    <row r="26" spans="1:12" ht="42.75" customHeight="1" x14ac:dyDescent="0.25">
      <c r="A26" s="151" t="s">
        <v>372</v>
      </c>
      <c r="C26" s="135">
        <v>2.75</v>
      </c>
      <c r="D26" s="124" t="s">
        <v>373</v>
      </c>
    </row>
    <row r="27" spans="1:12" ht="28.5" customHeight="1" x14ac:dyDescent="0.25">
      <c r="A27" s="151" t="s">
        <v>374</v>
      </c>
      <c r="C27" s="136">
        <f>H8</f>
        <v>0.8</v>
      </c>
      <c r="D27" s="124" t="s">
        <v>375</v>
      </c>
    </row>
    <row r="28" spans="1:12" ht="45" x14ac:dyDescent="0.25">
      <c r="A28" s="151" t="s">
        <v>376</v>
      </c>
      <c r="C28" s="131">
        <f>C21*C27</f>
        <v>80000</v>
      </c>
      <c r="D28" s="124" t="s">
        <v>377</v>
      </c>
    </row>
    <row r="29" spans="1:12" ht="60" x14ac:dyDescent="0.25">
      <c r="A29" s="151" t="s">
        <v>378</v>
      </c>
      <c r="C29" s="131">
        <f>C21-C28</f>
        <v>20000</v>
      </c>
      <c r="D29" s="124" t="s">
        <v>379</v>
      </c>
    </row>
    <row r="30" spans="1:12" ht="28.5" customHeight="1" x14ac:dyDescent="0.25">
      <c r="A30" s="151" t="s">
        <v>380</v>
      </c>
      <c r="C30" s="131">
        <f>C21*(C25-C23)</f>
        <v>26500.000000000011</v>
      </c>
      <c r="D30" s="124" t="s">
        <v>381</v>
      </c>
      <c r="E30" s="120"/>
      <c r="F30" s="120"/>
      <c r="G30" s="120"/>
      <c r="H30" s="120"/>
      <c r="I30" s="120"/>
      <c r="J30" s="120"/>
      <c r="K30" s="120"/>
      <c r="L30" s="120"/>
    </row>
    <row r="31" spans="1:12" ht="28.5" customHeight="1" x14ac:dyDescent="0.25">
      <c r="A31" s="151" t="s">
        <v>382</v>
      </c>
      <c r="C31" s="131">
        <f>C28*C26+C29*C25</f>
        <v>278300</v>
      </c>
      <c r="D31" s="124" t="s">
        <v>383</v>
      </c>
      <c r="E31" s="120"/>
      <c r="F31" s="120"/>
      <c r="G31" s="120"/>
      <c r="H31" s="120"/>
      <c r="I31" s="120"/>
      <c r="J31" s="120"/>
      <c r="K31" s="120"/>
      <c r="L31" s="120"/>
    </row>
    <row r="32" spans="1:12" ht="28.5" customHeight="1" x14ac:dyDescent="0.25">
      <c r="A32" s="151" t="s">
        <v>384</v>
      </c>
      <c r="C32" s="131">
        <f>C21*C25</f>
        <v>291500</v>
      </c>
      <c r="D32" s="124" t="s">
        <v>385</v>
      </c>
      <c r="E32" s="120"/>
      <c r="F32" s="120"/>
      <c r="G32" s="120"/>
      <c r="H32" s="120"/>
      <c r="I32" s="120"/>
      <c r="J32" s="120"/>
      <c r="K32" s="120"/>
      <c r="L32" s="120"/>
    </row>
    <row r="33" spans="1:12" ht="28.5" customHeight="1" x14ac:dyDescent="0.25">
      <c r="A33" s="152" t="s">
        <v>386</v>
      </c>
      <c r="C33" s="131">
        <f>C31-C32</f>
        <v>-13200</v>
      </c>
      <c r="D33" s="124" t="s">
        <v>387</v>
      </c>
      <c r="E33" s="120"/>
      <c r="F33" s="120"/>
      <c r="G33" s="120"/>
      <c r="H33" s="120"/>
      <c r="I33" s="120"/>
      <c r="J33" s="120"/>
      <c r="K33" s="120"/>
      <c r="L33" s="120"/>
    </row>
    <row r="34" spans="1:12" ht="28.5" customHeight="1" x14ac:dyDescent="0.25">
      <c r="A34" s="152" t="s">
        <v>388</v>
      </c>
      <c r="C34" s="131">
        <f>C31-(C21*C23)</f>
        <v>13300</v>
      </c>
      <c r="D34" s="124" t="s">
        <v>389</v>
      </c>
      <c r="E34" s="120"/>
      <c r="F34" s="120"/>
      <c r="G34" s="120"/>
      <c r="H34" s="120"/>
      <c r="I34" s="120"/>
      <c r="J34" s="120"/>
      <c r="K34" s="120"/>
      <c r="L34" s="120"/>
    </row>
    <row r="35" spans="1:12" ht="28.5" customHeight="1" x14ac:dyDescent="0.25">
      <c r="A35" s="151" t="s">
        <v>390</v>
      </c>
      <c r="C35" s="126" t="str">
        <f>IF(C30&lt;0,"ზარალი ჰეჯირების გარეშე: "&amp;TEXT(-C30,"#,##0.00")&amp;" GEL","მოგება ჰეჯირების გარეშე: "&amp;TEXT(C30,"#,##0.00")&amp;" GEL")</f>
        <v>მოგება ჰეჯირების გარეშე: 26,500.00 GEL</v>
      </c>
      <c r="D35" s="124" t="s">
        <v>391</v>
      </c>
      <c r="E35" s="120"/>
      <c r="F35" s="120"/>
      <c r="G35" s="120"/>
      <c r="H35" s="120"/>
      <c r="I35" s="120"/>
      <c r="J35" s="120"/>
      <c r="K35" s="120"/>
      <c r="L35" s="120"/>
    </row>
    <row r="36" spans="1:12" ht="28.5" customHeight="1" x14ac:dyDescent="0.25">
      <c r="A36" s="149"/>
      <c r="B36" s="150"/>
      <c r="C36" s="120"/>
      <c r="D36" s="120"/>
      <c r="E36" s="120"/>
      <c r="F36" s="120"/>
      <c r="G36" s="120"/>
      <c r="H36" s="120"/>
      <c r="I36" s="120"/>
      <c r="J36" s="120"/>
      <c r="K36" s="120"/>
      <c r="L36" s="120"/>
    </row>
    <row r="37" spans="1:12" ht="28.5" customHeight="1" x14ac:dyDescent="0.25">
      <c r="A37" s="159" t="s">
        <v>354</v>
      </c>
      <c r="B37" s="159"/>
      <c r="C37" s="159"/>
      <c r="D37" s="159"/>
      <c r="E37" s="120"/>
      <c r="F37" s="120"/>
      <c r="G37" s="120"/>
      <c r="H37" s="120"/>
      <c r="I37" s="120"/>
      <c r="J37" s="120"/>
      <c r="K37" s="120"/>
      <c r="L37" s="120"/>
    </row>
    <row r="38" spans="1:12" ht="28.5" customHeight="1" x14ac:dyDescent="0.25">
      <c r="A38" s="132" t="s">
        <v>357</v>
      </c>
      <c r="B38" s="140" t="s">
        <v>358</v>
      </c>
      <c r="C38" s="132" t="s">
        <v>359</v>
      </c>
      <c r="D38" s="132" t="s">
        <v>360</v>
      </c>
      <c r="E38" s="132" t="s">
        <v>361</v>
      </c>
      <c r="F38" s="132" t="s">
        <v>362</v>
      </c>
      <c r="G38" s="132" t="s">
        <v>363</v>
      </c>
      <c r="H38" s="132" t="s">
        <v>364</v>
      </c>
      <c r="I38" s="120"/>
      <c r="J38" s="120"/>
      <c r="K38" s="120"/>
      <c r="L38" s="120"/>
    </row>
    <row r="39" spans="1:12" ht="28.5" customHeight="1" x14ac:dyDescent="0.25">
      <c r="A39" s="133">
        <v>-0.15</v>
      </c>
      <c r="B39" s="134">
        <f t="shared" ref="B39:B46" si="0">$C$23*(1+A39)</f>
        <v>2.2524999999999999</v>
      </c>
      <c r="C39" s="134">
        <f t="shared" ref="C39:C46" si="1">$C$21*(B39-$C$23)</f>
        <v>-39750</v>
      </c>
      <c r="D39" s="134">
        <f t="shared" ref="D39:D46" si="2">($C$21*0)*$C$26+($C$21*(1-0))*B39-($C$21*$C$23)</f>
        <v>-39750</v>
      </c>
      <c r="E39" s="134">
        <f t="shared" ref="E39:E46" si="3">($C$21*0.5)*$C$26+($C$21*(1-0.5))*B39-($C$21*$C$23)</f>
        <v>-14875</v>
      </c>
      <c r="F39" s="134">
        <f t="shared" ref="F39:F46" si="4">($C$21*0.8)*$C$26+($C$21*(1-0.8))*B39-($C$21*$C$23)</f>
        <v>50</v>
      </c>
      <c r="G39" s="134">
        <f t="shared" ref="G39:G46" si="5">($C$21*1)*$C$26+($C$21*(1-1))*B39-($C$21*$C$23)</f>
        <v>10000</v>
      </c>
      <c r="H39" s="124" t="str">
        <f t="shared" ref="H39:H46" si="6">IF(C39&lt;0,"ზარალი ჰეჯირების გარეშე","მოგება ჰეჯირების გარეშე")</f>
        <v>ზარალი ჰეჯირების გარეშე</v>
      </c>
      <c r="I39" s="120"/>
      <c r="J39" s="120"/>
      <c r="K39" s="120"/>
      <c r="L39" s="120"/>
    </row>
    <row r="40" spans="1:12" ht="28.5" customHeight="1" x14ac:dyDescent="0.25">
      <c r="A40" s="133">
        <v>-0.1</v>
      </c>
      <c r="B40" s="134">
        <f t="shared" si="0"/>
        <v>2.3849999999999998</v>
      </c>
      <c r="C40" s="134">
        <f t="shared" si="1"/>
        <v>-26500.000000000011</v>
      </c>
      <c r="D40" s="134">
        <f t="shared" si="2"/>
        <v>-26500.000000000029</v>
      </c>
      <c r="E40" s="134">
        <f t="shared" si="3"/>
        <v>-8250</v>
      </c>
      <c r="F40" s="134">
        <f t="shared" si="4"/>
        <v>2700</v>
      </c>
      <c r="G40" s="134">
        <f t="shared" si="5"/>
        <v>10000</v>
      </c>
      <c r="H40" s="124" t="str">
        <f t="shared" si="6"/>
        <v>ზარალი ჰეჯირების გარეშე</v>
      </c>
      <c r="I40" s="120"/>
      <c r="J40" s="120"/>
      <c r="K40" s="120"/>
      <c r="L40" s="120"/>
    </row>
    <row r="41" spans="1:12" ht="28.5" customHeight="1" x14ac:dyDescent="0.25">
      <c r="A41" s="133">
        <v>-0.05</v>
      </c>
      <c r="B41" s="134">
        <f t="shared" si="0"/>
        <v>2.5174999999999996</v>
      </c>
      <c r="C41" s="134">
        <f t="shared" si="1"/>
        <v>-13250.000000000029</v>
      </c>
      <c r="D41" s="134">
        <f t="shared" si="2"/>
        <v>-13250.000000000029</v>
      </c>
      <c r="E41" s="134">
        <f t="shared" si="3"/>
        <v>-1625</v>
      </c>
      <c r="F41" s="134">
        <f t="shared" si="4"/>
        <v>5350</v>
      </c>
      <c r="G41" s="134">
        <f t="shared" si="5"/>
        <v>10000</v>
      </c>
      <c r="H41" s="124" t="str">
        <f t="shared" si="6"/>
        <v>ზარალი ჰეჯირების გარეშე</v>
      </c>
      <c r="I41" s="120"/>
      <c r="J41" s="120"/>
      <c r="K41" s="120"/>
      <c r="L41" s="120"/>
    </row>
    <row r="42" spans="1:12" ht="28.5" customHeight="1" x14ac:dyDescent="0.25">
      <c r="A42" s="133">
        <v>0</v>
      </c>
      <c r="B42" s="134">
        <f t="shared" si="0"/>
        <v>2.65</v>
      </c>
      <c r="C42" s="134">
        <f t="shared" si="1"/>
        <v>0</v>
      </c>
      <c r="D42" s="134">
        <f t="shared" si="2"/>
        <v>0</v>
      </c>
      <c r="E42" s="134">
        <f t="shared" si="3"/>
        <v>5000</v>
      </c>
      <c r="F42" s="134">
        <f t="shared" si="4"/>
        <v>8000</v>
      </c>
      <c r="G42" s="134">
        <f t="shared" si="5"/>
        <v>10000</v>
      </c>
      <c r="H42" s="124" t="str">
        <f t="shared" si="6"/>
        <v>მოგება ჰეჯირების გარეშე</v>
      </c>
      <c r="I42" s="120"/>
      <c r="J42" s="120"/>
      <c r="K42" s="120"/>
      <c r="L42" s="120"/>
    </row>
    <row r="43" spans="1:12" ht="28.5" customHeight="1" x14ac:dyDescent="0.25">
      <c r="A43" s="133">
        <v>0.05</v>
      </c>
      <c r="B43" s="134">
        <f t="shared" si="0"/>
        <v>2.7825000000000002</v>
      </c>
      <c r="C43" s="134">
        <f t="shared" si="1"/>
        <v>13250.000000000029</v>
      </c>
      <c r="D43" s="134">
        <f t="shared" si="2"/>
        <v>13250</v>
      </c>
      <c r="E43" s="134">
        <f t="shared" si="3"/>
        <v>11625</v>
      </c>
      <c r="F43" s="134">
        <f t="shared" si="4"/>
        <v>10650</v>
      </c>
      <c r="G43" s="134">
        <f t="shared" si="5"/>
        <v>10000</v>
      </c>
      <c r="H43" s="124" t="str">
        <f t="shared" si="6"/>
        <v>მოგება ჰეჯირების გარეშე</v>
      </c>
      <c r="I43" s="120"/>
      <c r="J43" s="120"/>
      <c r="K43" s="120"/>
      <c r="L43" s="120"/>
    </row>
    <row r="44" spans="1:12" ht="28.5" customHeight="1" x14ac:dyDescent="0.25">
      <c r="A44" s="133">
        <v>0.1</v>
      </c>
      <c r="B44" s="134">
        <f t="shared" si="0"/>
        <v>2.915</v>
      </c>
      <c r="C44" s="134">
        <f t="shared" si="1"/>
        <v>26500.000000000011</v>
      </c>
      <c r="D44" s="134">
        <f t="shared" si="2"/>
        <v>26500</v>
      </c>
      <c r="E44" s="134">
        <f t="shared" si="3"/>
        <v>18250</v>
      </c>
      <c r="F44" s="134">
        <f t="shared" si="4"/>
        <v>13300</v>
      </c>
      <c r="G44" s="134">
        <f t="shared" si="5"/>
        <v>10000</v>
      </c>
      <c r="H44" s="124" t="str">
        <f t="shared" si="6"/>
        <v>მოგება ჰეჯირების გარეშე</v>
      </c>
      <c r="I44" s="120"/>
      <c r="J44" s="120"/>
      <c r="K44" s="120"/>
      <c r="L44" s="120"/>
    </row>
    <row r="45" spans="1:12" ht="28.5" customHeight="1" x14ac:dyDescent="0.25">
      <c r="A45" s="133">
        <v>0.15</v>
      </c>
      <c r="B45" s="134">
        <f t="shared" si="0"/>
        <v>3.0474999999999999</v>
      </c>
      <c r="C45" s="134">
        <f t="shared" si="1"/>
        <v>39750</v>
      </c>
      <c r="D45" s="134">
        <f t="shared" si="2"/>
        <v>39750</v>
      </c>
      <c r="E45" s="134">
        <f t="shared" si="3"/>
        <v>24875</v>
      </c>
      <c r="F45" s="134">
        <f t="shared" si="4"/>
        <v>15950</v>
      </c>
      <c r="G45" s="134">
        <f t="shared" si="5"/>
        <v>10000</v>
      </c>
      <c r="H45" s="124" t="str">
        <f t="shared" si="6"/>
        <v>მოგება ჰეჯირების გარეშე</v>
      </c>
      <c r="I45" s="120"/>
      <c r="J45" s="120"/>
      <c r="K45" s="120"/>
      <c r="L45" s="120"/>
    </row>
    <row r="46" spans="1:12" ht="28.5" customHeight="1" x14ac:dyDescent="0.25">
      <c r="A46" s="133">
        <v>0.2</v>
      </c>
      <c r="B46" s="134">
        <f t="shared" si="0"/>
        <v>3.1799999999999997</v>
      </c>
      <c r="C46" s="134">
        <f t="shared" si="1"/>
        <v>52999.999999999978</v>
      </c>
      <c r="D46" s="134">
        <f t="shared" si="2"/>
        <v>53000</v>
      </c>
      <c r="E46" s="134">
        <f t="shared" si="3"/>
        <v>31500</v>
      </c>
      <c r="F46" s="134">
        <f t="shared" si="4"/>
        <v>18600</v>
      </c>
      <c r="G46" s="134">
        <f t="shared" si="5"/>
        <v>10000</v>
      </c>
      <c r="H46" s="124" t="str">
        <f t="shared" si="6"/>
        <v>მოგება ჰეჯირების გარეშე</v>
      </c>
      <c r="I46" s="120"/>
      <c r="J46" s="120"/>
      <c r="K46" s="120"/>
      <c r="L46" s="120"/>
    </row>
    <row r="47" spans="1:12" x14ac:dyDescent="0.25">
      <c r="A47" s="120"/>
      <c r="B47" s="120"/>
      <c r="C47" s="120"/>
      <c r="D47" s="120"/>
      <c r="E47" s="120"/>
      <c r="F47" s="120"/>
      <c r="G47" s="120"/>
      <c r="H47" s="120"/>
      <c r="I47" s="120"/>
      <c r="J47" s="120"/>
      <c r="K47" s="120"/>
      <c r="L47" s="120"/>
    </row>
    <row r="48" spans="1:12" x14ac:dyDescent="0.25">
      <c r="A48" s="120"/>
      <c r="B48" s="120"/>
      <c r="C48" s="120"/>
      <c r="D48" s="120"/>
      <c r="E48" s="120"/>
      <c r="F48" s="120"/>
      <c r="G48" s="120"/>
      <c r="H48" s="120"/>
      <c r="I48" s="120"/>
      <c r="J48" s="120"/>
      <c r="K48" s="120"/>
      <c r="L48" s="120"/>
    </row>
    <row r="49" spans="1:12" ht="33.75" customHeight="1" x14ac:dyDescent="0.25">
      <c r="A49" s="160" t="s">
        <v>392</v>
      </c>
      <c r="B49" s="155"/>
      <c r="C49" s="155"/>
      <c r="D49" s="155"/>
    </row>
    <row r="50" spans="1:12" ht="28.5" customHeight="1" x14ac:dyDescent="0.25">
      <c r="A50" s="147" t="s">
        <v>394</v>
      </c>
      <c r="B50" s="127">
        <v>500000</v>
      </c>
      <c r="C50" s="124" t="s">
        <v>395</v>
      </c>
      <c r="D50" s="120"/>
    </row>
    <row r="51" spans="1:12" ht="28.5" customHeight="1" x14ac:dyDescent="0.25">
      <c r="A51" s="147" t="s">
        <v>398</v>
      </c>
      <c r="B51" s="139">
        <v>0.14000000000000001</v>
      </c>
      <c r="C51" s="124" t="s">
        <v>399</v>
      </c>
      <c r="D51" s="120"/>
    </row>
    <row r="52" spans="1:12" ht="28.5" customHeight="1" x14ac:dyDescent="0.25">
      <c r="A52" s="147" t="s">
        <v>402</v>
      </c>
      <c r="B52" s="125">
        <v>200</v>
      </c>
      <c r="C52" s="124" t="s">
        <v>403</v>
      </c>
      <c r="D52" s="120"/>
    </row>
    <row r="53" spans="1:12" ht="28.5" customHeight="1" x14ac:dyDescent="0.25">
      <c r="A53" s="147" t="s">
        <v>407</v>
      </c>
      <c r="B53" s="127">
        <v>3</v>
      </c>
      <c r="C53" s="124" t="s">
        <v>408</v>
      </c>
      <c r="D53" s="120"/>
    </row>
    <row r="54" spans="1:12" ht="28.5" customHeight="1" x14ac:dyDescent="0.25">
      <c r="A54" s="147" t="s">
        <v>412</v>
      </c>
      <c r="B54" s="131">
        <f>B50*B51</f>
        <v>70000</v>
      </c>
      <c r="C54" s="124" t="s">
        <v>413</v>
      </c>
      <c r="D54" s="120"/>
    </row>
    <row r="55" spans="1:12" ht="28.5" customHeight="1" x14ac:dyDescent="0.25">
      <c r="A55" s="147" t="s">
        <v>417</v>
      </c>
      <c r="B55" s="131">
        <f>B50*(B51+B52/10000)</f>
        <v>80000</v>
      </c>
      <c r="C55" s="124" t="s">
        <v>418</v>
      </c>
      <c r="D55" s="120"/>
    </row>
    <row r="56" spans="1:12" ht="28.5" customHeight="1" x14ac:dyDescent="0.25">
      <c r="A56" s="147" t="s">
        <v>422</v>
      </c>
      <c r="B56" s="131">
        <f>B54-B53</f>
        <v>69997</v>
      </c>
      <c r="C56" s="124" t="s">
        <v>423</v>
      </c>
      <c r="D56" s="120"/>
      <c r="E56" s="120"/>
      <c r="F56" s="120"/>
      <c r="G56" s="120"/>
      <c r="H56" s="120"/>
      <c r="I56" s="120"/>
      <c r="J56" s="120"/>
      <c r="K56" s="120"/>
      <c r="L56" s="120"/>
    </row>
    <row r="57" spans="1:12" ht="28.5" customHeight="1" x14ac:dyDescent="0.25">
      <c r="A57" s="147" t="s">
        <v>424</v>
      </c>
      <c r="B57" s="131">
        <f>B55*B53</f>
        <v>240000</v>
      </c>
      <c r="C57" s="141" t="s">
        <v>425</v>
      </c>
      <c r="D57" s="120"/>
      <c r="E57" s="120"/>
      <c r="F57" s="120"/>
      <c r="G57" s="120"/>
      <c r="H57" s="120"/>
      <c r="I57" s="120"/>
      <c r="J57" s="120"/>
      <c r="K57" s="120"/>
      <c r="L57" s="120"/>
    </row>
    <row r="58" spans="1:12" ht="28.5" customHeight="1" x14ac:dyDescent="0.25">
      <c r="A58" s="130" t="s">
        <v>426</v>
      </c>
      <c r="B58" s="126" t="str">
        <f>IF(B55&gt;0.05*B50,"დიახ - სტრესის გავლენა არსებითია",IF(B55&gt;0.02*B50,"განიხილეთ ნაწილობრივი ჰეჯირება / ფიქსირებული განაკვეთით რეფინანსირება","მონიტორინგი"))</f>
        <v>დიახ - სტრესის გავლენა არსებითია</v>
      </c>
      <c r="C58" s="124" t="s">
        <v>427</v>
      </c>
      <c r="D58" s="120"/>
      <c r="E58" s="120"/>
      <c r="F58" s="120"/>
      <c r="G58" s="120"/>
      <c r="H58" s="120"/>
      <c r="I58" s="120"/>
      <c r="J58" s="120"/>
      <c r="K58" s="120"/>
      <c r="L58" s="120"/>
    </row>
    <row r="59" spans="1:12" ht="28.5" customHeight="1" x14ac:dyDescent="0.25">
      <c r="A59" s="149"/>
      <c r="B59" s="150"/>
      <c r="C59" s="120"/>
      <c r="D59" s="120"/>
      <c r="E59" s="120"/>
      <c r="F59" s="120"/>
      <c r="G59" s="120"/>
      <c r="H59" s="120"/>
      <c r="I59" s="120"/>
      <c r="J59" s="120"/>
      <c r="K59" s="120"/>
      <c r="L59" s="120"/>
    </row>
    <row r="60" spans="1:12" ht="28.5" customHeight="1" x14ac:dyDescent="0.25">
      <c r="A60" s="160" t="s">
        <v>393</v>
      </c>
      <c r="B60" s="160"/>
      <c r="C60" s="160"/>
      <c r="D60" s="120"/>
      <c r="E60" s="120"/>
      <c r="F60" s="120"/>
      <c r="G60" s="120"/>
      <c r="H60" s="120"/>
      <c r="J60" s="120"/>
      <c r="K60" s="120"/>
      <c r="L60" s="120"/>
    </row>
    <row r="61" spans="1:12" ht="28.5" customHeight="1" x14ac:dyDescent="0.25">
      <c r="A61" s="138" t="s">
        <v>17</v>
      </c>
      <c r="B61" s="138" t="s">
        <v>396</v>
      </c>
      <c r="C61" s="138" t="s">
        <v>397</v>
      </c>
      <c r="D61" s="120"/>
      <c r="E61" s="120"/>
      <c r="F61" s="120"/>
      <c r="G61" s="120"/>
      <c r="H61" s="120"/>
      <c r="J61" s="120"/>
      <c r="K61" s="120"/>
      <c r="L61" s="120"/>
    </row>
    <row r="62" spans="1:12" ht="81" customHeight="1" x14ac:dyDescent="0.25">
      <c r="A62" s="130" t="s">
        <v>242</v>
      </c>
      <c r="B62" s="124" t="s">
        <v>400</v>
      </c>
      <c r="C62" s="124" t="s">
        <v>401</v>
      </c>
      <c r="D62" s="120"/>
      <c r="E62" s="120"/>
      <c r="F62" s="120"/>
      <c r="G62" s="120"/>
      <c r="H62" s="120"/>
      <c r="J62" s="120"/>
      <c r="K62" s="120"/>
      <c r="L62" s="120"/>
    </row>
    <row r="63" spans="1:12" ht="28.5" customHeight="1" x14ac:dyDescent="0.25">
      <c r="A63" s="130" t="s">
        <v>404</v>
      </c>
      <c r="B63" s="124" t="s">
        <v>405</v>
      </c>
      <c r="C63" s="124" t="s">
        <v>406</v>
      </c>
      <c r="D63" s="120"/>
      <c r="E63" s="120"/>
      <c r="F63" s="120"/>
      <c r="G63" s="120"/>
      <c r="H63" s="120"/>
      <c r="J63" s="120"/>
      <c r="K63" s="120"/>
      <c r="L63" s="120"/>
    </row>
    <row r="64" spans="1:12" ht="28.5" customHeight="1" x14ac:dyDescent="0.25">
      <c r="A64" s="130" t="s">
        <v>409</v>
      </c>
      <c r="B64" s="124" t="s">
        <v>410</v>
      </c>
      <c r="C64" s="124" t="s">
        <v>411</v>
      </c>
      <c r="D64" s="120"/>
      <c r="E64" s="120"/>
      <c r="F64" s="120"/>
      <c r="G64" s="120"/>
      <c r="H64" s="120"/>
      <c r="J64" s="120"/>
      <c r="K64" s="120"/>
      <c r="L64" s="120"/>
    </row>
    <row r="65" spans="1:12" ht="28.5" customHeight="1" x14ac:dyDescent="0.25">
      <c r="A65" s="130" t="s">
        <v>414</v>
      </c>
      <c r="B65" s="124" t="s">
        <v>415</v>
      </c>
      <c r="C65" s="124" t="s">
        <v>416</v>
      </c>
      <c r="D65" s="120"/>
      <c r="E65" s="120"/>
      <c r="F65" s="120"/>
      <c r="G65" s="120"/>
      <c r="H65" s="120"/>
      <c r="J65" s="120"/>
      <c r="K65" s="120"/>
      <c r="L65" s="120"/>
    </row>
    <row r="66" spans="1:12" ht="28.5" customHeight="1" x14ac:dyDescent="0.25">
      <c r="A66" s="130" t="s">
        <v>419</v>
      </c>
      <c r="B66" s="124" t="s">
        <v>420</v>
      </c>
      <c r="C66" s="124" t="s">
        <v>421</v>
      </c>
      <c r="D66" s="120"/>
      <c r="E66" s="120"/>
      <c r="F66" s="120"/>
      <c r="G66" s="120"/>
      <c r="H66" s="120"/>
      <c r="J66" s="120"/>
      <c r="K66" s="120"/>
      <c r="L66" s="120"/>
    </row>
    <row r="67" spans="1:12" x14ac:dyDescent="0.25">
      <c r="A67" s="120"/>
      <c r="B67" s="120"/>
      <c r="C67" s="120"/>
      <c r="D67" s="120"/>
      <c r="E67" s="120"/>
      <c r="F67" s="120"/>
      <c r="G67" s="120"/>
      <c r="H67" s="120"/>
      <c r="I67" s="120"/>
      <c r="J67" s="120"/>
      <c r="K67" s="120"/>
      <c r="L67" s="120"/>
    </row>
    <row r="68" spans="1:12" x14ac:dyDescent="0.25">
      <c r="A68" s="120"/>
      <c r="B68" s="120"/>
      <c r="C68" s="120"/>
      <c r="D68" s="120"/>
      <c r="E68" s="120"/>
      <c r="F68" s="120"/>
      <c r="G68" s="120"/>
      <c r="H68" s="120"/>
      <c r="I68" s="120"/>
      <c r="J68" s="120"/>
      <c r="K68" s="120"/>
      <c r="L68" s="120"/>
    </row>
    <row r="69" spans="1:12" ht="21.75" customHeight="1" x14ac:dyDescent="0.25">
      <c r="A69" s="160" t="s">
        <v>428</v>
      </c>
      <c r="B69" s="155"/>
      <c r="C69" s="120"/>
      <c r="D69" s="120"/>
      <c r="E69" s="120"/>
      <c r="F69" s="120"/>
      <c r="G69" s="120"/>
      <c r="H69" s="120"/>
      <c r="I69" s="120"/>
      <c r="J69" s="120"/>
      <c r="K69" s="120"/>
      <c r="L69" s="120"/>
    </row>
    <row r="70" spans="1:12" ht="28.5" customHeight="1" x14ac:dyDescent="0.25">
      <c r="A70" s="162" t="s">
        <v>429</v>
      </c>
      <c r="B70" s="163"/>
      <c r="C70" s="165" t="s">
        <v>430</v>
      </c>
      <c r="D70" s="155"/>
      <c r="E70" s="155"/>
      <c r="F70" s="120"/>
      <c r="G70" s="120"/>
      <c r="H70" s="120"/>
      <c r="I70" s="120"/>
      <c r="J70" s="120"/>
      <c r="K70" s="120"/>
      <c r="L70" s="120"/>
    </row>
    <row r="71" spans="1:12" x14ac:dyDescent="0.25">
      <c r="A71" s="156" t="s">
        <v>431</v>
      </c>
      <c r="B71" s="157"/>
      <c r="C71" s="141" t="s">
        <v>432</v>
      </c>
      <c r="D71" s="120"/>
      <c r="E71" s="120"/>
      <c r="F71" s="120"/>
      <c r="G71" s="120"/>
      <c r="H71" s="120"/>
      <c r="I71" s="120"/>
      <c r="J71" s="120"/>
      <c r="K71" s="120"/>
      <c r="L71" s="120"/>
    </row>
    <row r="72" spans="1:12" x14ac:dyDescent="0.25">
      <c r="A72" s="156" t="s">
        <v>433</v>
      </c>
      <c r="B72" s="157"/>
      <c r="C72" s="141" t="s">
        <v>434</v>
      </c>
      <c r="D72" s="120"/>
      <c r="E72" s="120"/>
      <c r="F72" s="120"/>
      <c r="G72" s="120"/>
      <c r="H72" s="120"/>
      <c r="I72" s="120"/>
      <c r="J72" s="120"/>
      <c r="K72" s="120"/>
      <c r="L72" s="120"/>
    </row>
    <row r="73" spans="1:12" ht="30" customHeight="1" x14ac:dyDescent="0.25">
      <c r="A73" s="156" t="s">
        <v>435</v>
      </c>
      <c r="B73" s="157"/>
      <c r="C73" s="141" t="s">
        <v>436</v>
      </c>
      <c r="D73" s="120"/>
      <c r="E73" s="120"/>
      <c r="F73" s="120"/>
      <c r="G73" s="120"/>
      <c r="H73" s="120"/>
      <c r="I73" s="120"/>
      <c r="J73" s="120"/>
      <c r="K73" s="120"/>
      <c r="L73" s="120"/>
    </row>
    <row r="74" spans="1:12" x14ac:dyDescent="0.25">
      <c r="A74" s="156" t="s">
        <v>437</v>
      </c>
      <c r="B74" s="157"/>
      <c r="C74" s="141" t="s">
        <v>438</v>
      </c>
      <c r="D74" s="120"/>
      <c r="E74" s="120"/>
      <c r="F74" s="120"/>
      <c r="G74" s="120"/>
      <c r="H74" s="120"/>
      <c r="I74" s="120"/>
      <c r="J74" s="120"/>
      <c r="K74" s="120"/>
      <c r="L74" s="120"/>
    </row>
    <row r="75" spans="1:12" ht="27.4" customHeight="1" x14ac:dyDescent="0.25">
      <c r="A75" s="156" t="s">
        <v>439</v>
      </c>
      <c r="B75" s="157"/>
      <c r="C75" s="141" t="s">
        <v>440</v>
      </c>
      <c r="D75" s="120"/>
      <c r="E75" s="120"/>
      <c r="F75" s="120"/>
      <c r="G75" s="120"/>
      <c r="H75" s="120"/>
      <c r="I75" s="120"/>
      <c r="J75" s="120"/>
      <c r="K75" s="120"/>
      <c r="L75" s="120"/>
    </row>
    <row r="76" spans="1:12" x14ac:dyDescent="0.25">
      <c r="A76" s="158" t="s">
        <v>441</v>
      </c>
      <c r="B76" s="157"/>
      <c r="C76" s="141" t="s">
        <v>927</v>
      </c>
      <c r="D76" s="120"/>
      <c r="E76" s="120"/>
      <c r="F76" s="120"/>
      <c r="G76" s="120"/>
      <c r="H76" s="120"/>
      <c r="I76" s="120"/>
      <c r="J76" s="120"/>
      <c r="K76" s="120"/>
      <c r="L76" s="120"/>
    </row>
  </sheetData>
  <mergeCells count="16">
    <mergeCell ref="G4:H4"/>
    <mergeCell ref="A72:B72"/>
    <mergeCell ref="A70:B70"/>
    <mergeCell ref="A2:E2"/>
    <mergeCell ref="A75:B75"/>
    <mergeCell ref="C70:E70"/>
    <mergeCell ref="A69:B69"/>
    <mergeCell ref="A20:D20"/>
    <mergeCell ref="A49:D49"/>
    <mergeCell ref="A1:E1"/>
    <mergeCell ref="A74:B74"/>
    <mergeCell ref="A76:B76"/>
    <mergeCell ref="A71:B71"/>
    <mergeCell ref="A73:B73"/>
    <mergeCell ref="A37:D37"/>
    <mergeCell ref="A60:C60"/>
  </mergeCells>
  <dataValidations count="6">
    <dataValidation type="list" sqref="C13 C15" xr:uid="{00000000-0002-0000-0700-000000000000}">
      <formula1>"დიახ,არა,უცნობია"</formula1>
    </dataValidation>
    <dataValidation type="list" sqref="C12" xr:uid="{00000000-0002-0000-0700-000001000000}">
      <formula1>"დიახ,არა,ნაწილობრივი"</formula1>
    </dataValidation>
    <dataValidation type="list" sqref="C10:C11" xr:uid="{00000000-0002-0000-0700-000002000000}">
      <formula1>"დიახ,არა,ნაწილობრივ"</formula1>
    </dataValidation>
    <dataValidation type="list" sqref="C7" xr:uid="{00000000-0002-0000-0700-000003000000}">
      <formula1>"USD,EUR,TRY,სხვა"</formula1>
    </dataValidation>
    <dataValidation type="list" sqref="C6" xr:uid="{00000000-0002-0000-0700-000004000000}">
      <formula1>"ექსპორტიორის დებიტორული დავალიანება,იმპორტიორის კრედიტორული დავალიანება,სავალუტო სესხი,სავალუტო ნაღდი ფული,შერეული"</formula1>
    </dataValidation>
    <dataValidation type="list" sqref="C5 C14 C16" xr:uid="{00000000-0002-0000-0700-000005000000}">
      <formula1>"დიახ,არა"</formula1>
    </dataValidation>
  </dataValidations>
  <pageMargins left="0.75" right="0.75" top="1" bottom="1" header="0.5" footer="0.5"/>
  <pageSetup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კლასიფიკაცია</vt:lpstr>
      <vt:lpstr>სავალუტო პროდუქტები 1</vt:lpstr>
      <vt:lpstr>საბრუნავი კაპიტალის მრჩეველი</vt:lpstr>
      <vt:lpstr>სავალუტო პროდუქტები_</vt:lpstr>
      <vt:lpstr>ფაქტორინგი</vt:lpstr>
      <vt:lpstr>როგორ მუშაობს მრჩეველი</vt:lpstr>
      <vt:lpstr>ლიზინგი</vt:lpstr>
      <vt:lpstr>სავალუტო პროდუქტები_ კ1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ottorekhviashvili@gmail.com</cp:lastModifiedBy>
  <dcterms:created xsi:type="dcterms:W3CDTF">2026-06-12T12:33:35Z</dcterms:created>
  <dcterms:modified xsi:type="dcterms:W3CDTF">2026-08-03T12:09:29Z</dcterms:modified>
</cp:coreProperties>
</file>